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gif" ContentType="image/gi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 codeName="ThisWorkbook"/>
  <bookViews>
    <workbookView windowWidth="28800" windowHeight="12255"/>
  </bookViews>
  <sheets>
    <sheet name="skin care&amp;hair care" sheetId="2" r:id="rId1"/>
  </sheets>
  <definedNames>
    <definedName name="_xlnm._FilterDatabase" localSheetId="0" hidden="1">'skin care&amp;hair care'!$A$1:$I$778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5" name="ID_F1BC86B4347E4E3299F2D9A5D715E90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41590" y="428576105"/>
          <a:ext cx="4667250" cy="562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DAB2F97F77D74F46AC3C7DDEDA8111B5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0650" y="190500"/>
          <a:ext cx="1234440" cy="1234440"/>
        </a:xfrm>
        <a:prstGeom prst="rect">
          <a:avLst/>
        </a:prstGeom>
      </xdr:spPr>
    </xdr:pic>
  </etc:cellImage>
  <etc:cellImage>
    <xdr:pic>
      <xdr:nvPicPr>
        <xdr:cNvPr id="5" name="ID_EA5B7BD8D8804DE99D4A212D4D28C3BE"/>
        <xdr:cNvPicPr>
          <a:picLocks noChangeAspect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0650" y="1546225"/>
          <a:ext cx="1104900" cy="1104900"/>
        </a:xfrm>
        <a:prstGeom prst="rect">
          <a:avLst/>
        </a:prstGeom>
      </xdr:spPr>
    </xdr:pic>
  </etc:cellImage>
  <etc:cellImage>
    <xdr:pic>
      <xdr:nvPicPr>
        <xdr:cNvPr id="7" name="ID_26DBE36507054E10843293564BAD348A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8270" y="2734310"/>
          <a:ext cx="1188720" cy="1188720"/>
        </a:xfrm>
        <a:prstGeom prst="rect">
          <a:avLst/>
        </a:prstGeom>
      </xdr:spPr>
    </xdr:pic>
  </etc:cellImage>
  <etc:cellImage>
    <xdr:pic>
      <xdr:nvPicPr>
        <xdr:cNvPr id="10" name="ID_CE6EACE3BF024CFE82AEC7FFA39B1E6A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76870" y="5287010"/>
          <a:ext cx="899160" cy="1179830"/>
        </a:xfrm>
        <a:prstGeom prst="rect">
          <a:avLst/>
        </a:prstGeom>
      </xdr:spPr>
    </xdr:pic>
  </etc:cellImage>
  <etc:cellImage>
    <xdr:pic>
      <xdr:nvPicPr>
        <xdr:cNvPr id="12" name="ID_B09D50BA172041AF96778923ADB8925E"/>
        <xdr:cNvPicPr>
          <a:picLocks noChangeAspect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32395" y="4013200"/>
          <a:ext cx="1151255" cy="1151255"/>
        </a:xfrm>
        <a:prstGeom prst="rect">
          <a:avLst/>
        </a:prstGeom>
      </xdr:spPr>
    </xdr:pic>
  </etc:cellImage>
  <etc:cellImage>
    <xdr:pic>
      <xdr:nvPicPr>
        <xdr:cNvPr id="2" name="ID_590EDC901FBD4A8A89304EAB48CD3968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93380" y="7901940"/>
          <a:ext cx="686435" cy="1108710"/>
        </a:xfrm>
        <a:prstGeom prst="rect">
          <a:avLst/>
        </a:prstGeom>
      </xdr:spPr>
    </xdr:pic>
  </etc:cellImage>
  <etc:cellImage>
    <xdr:pic>
      <xdr:nvPicPr>
        <xdr:cNvPr id="4" name="ID_E3799395FDC940118FA3776EB07DA017"/>
        <xdr:cNvPicPr>
          <a:picLocks noChangeAspect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55890" y="9109075"/>
          <a:ext cx="1203960" cy="1203960"/>
        </a:xfrm>
        <a:prstGeom prst="rect">
          <a:avLst/>
        </a:prstGeom>
      </xdr:spPr>
    </xdr:pic>
  </etc:cellImage>
  <etc:cellImage>
    <xdr:pic>
      <xdr:nvPicPr>
        <xdr:cNvPr id="6" name="ID_D24E097325BB4656B11292D6B0CB9884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25410" y="10373360"/>
          <a:ext cx="1234440" cy="1234440"/>
        </a:xfrm>
        <a:prstGeom prst="rect">
          <a:avLst/>
        </a:prstGeom>
      </xdr:spPr>
    </xdr:pic>
  </etc:cellImage>
  <etc:cellImage>
    <xdr:pic>
      <xdr:nvPicPr>
        <xdr:cNvPr id="8" name="ID_D83E8C94CEBD4D3094FB64EE721C487F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48270" y="11660505"/>
          <a:ext cx="1181100" cy="1181100"/>
        </a:xfrm>
        <a:prstGeom prst="rect">
          <a:avLst/>
        </a:prstGeom>
      </xdr:spPr>
    </xdr:pic>
  </etc:cellImage>
  <etc:cellImage>
    <xdr:pic>
      <xdr:nvPicPr>
        <xdr:cNvPr id="15" name="ID_C41EA3BD8BD7453494C1BBCB131DB57B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H="1">
          <a:off x="8037830" y="12917170"/>
          <a:ext cx="647700" cy="1196340"/>
        </a:xfrm>
        <a:prstGeom prst="rect">
          <a:avLst/>
        </a:prstGeom>
      </xdr:spPr>
    </xdr:pic>
  </etc:cellImage>
  <etc:cellImage>
    <xdr:pic>
      <xdr:nvPicPr>
        <xdr:cNvPr id="17" name="ID_6849B43A6D47403F8E3D5F838BC32AAA" descr="SKIN1004 Madagascar Centella Tone Brightening Cleansing Gel Foam 125ml: Buy  Online at Best Price in UAE - Amazon.ae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3990" y="14387830"/>
          <a:ext cx="1169670" cy="942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9" name="ID_BA211D8E4BD4443A92572747B9B02E3E" descr="Madagascar Centella Ampoule 100ml | 8809576260663 | Wholesale Products |  YESBEE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76845" y="15472410"/>
          <a:ext cx="1245870" cy="1242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0" name="ID_B437E057EF6B478C925386A9E0FF0670" descr="SKIN1004 Centella Tone Brightening Capsule krema za lice, 75 ml |  dm-drogeriemarkt.ba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037830" y="16786225"/>
          <a:ext cx="591820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1" name="ID_DC12E2CAAD1F4BBF86D7F2CED042155B" descr="SKIN 1004 Madagascar Centella Air Fit Suncream Light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0170" y="18035270"/>
          <a:ext cx="128016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5" name="ID_E508AC3B966E4EE0A00321310E3C426B" descr="Medicube Collagen Night Wrapping Mask 75ml – cosmeticsdiary.pk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0170" y="19314795"/>
          <a:ext cx="1188720" cy="1188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6" name="ID_6B08F631873E436D9CB2C07840F4D963" descr="Medicube Zero Foam Cleanser 120 ml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20548600"/>
          <a:ext cx="1234440" cy="1203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8" name="ID_49BE459339E04A94ABDD74E5F1AC7AA7" descr="Medicube Collagen Jelly Cream - 110ml | ميدي كيوب كريم جل بالكولاجين - –  Wonder Beauties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0170" y="21828125"/>
          <a:ext cx="1234440" cy="1203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9" name="ID_CFE248DC2ED749C5AA9AA19024ACDBCE" descr="Medicube Deep Vita C Capsule Cream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4930" y="23084790"/>
          <a:ext cx="1234440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1" name="ID_0345B273F3C94231857C021E31F31EF0" descr="MEDICUBE Triple Collagen Cream 4.0 (50ml) – PURESEOUL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0170" y="24356695"/>
          <a:ext cx="1234440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3" name="ID_BBD2598A0B6C4885A910B39BAFE25EC0" descr="Zero Pore Pad 2.0 - Toner | Godwell Cosmetic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2550" y="25636220"/>
          <a:ext cx="123444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4" name="ID_42592F8715524D19AE984B99669E2787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4930" y="26892885"/>
          <a:ext cx="1234440" cy="1234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5" name="ID_7706A6A6AC72468CB5CD16F142E305E9" descr="Buy Biodance Bio-Collagen Real Deep Mask, Online in UAE | Nysaa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3030" y="28187650"/>
          <a:ext cx="1234440" cy="1241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87" name="ID_2DF8B970DAEE4481A587D87F5B51BEAA" descr="Clinique Clarifying Lotion 2 487 ml | lyko.com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36890" y="205056740"/>
          <a:ext cx="447675" cy="1114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188" name="ID_88F5389ACF69452F92545B1679A53127" descr="Amazon.com: Clinique 3-Step Clarifying Lotion Face Exfoliator For  Combination Oily Skin Types, Combination Oily Skin, 6.7 Fl Oz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55940" y="206309595"/>
          <a:ext cx="438150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29" name="ID_BB3D803158FC4B98B66A44BEB9187A37" descr="Charlotte Tilbury - Airbrush Flawless Setting Spray - Make ...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36865" y="229251510"/>
          <a:ext cx="733425" cy="1095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44" name="ID_E99BB7C98DDB4C85A534191CA99477DF" descr="Glutathiosome Dark Spot Serum Vita Drop - 50 ml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3030" y="255870710"/>
          <a:ext cx="1118235" cy="1118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46" name="ID_99B786CED5F54439AFF28C7EAD6732FE" descr="Toner Pad - Toner | Godwell Cosmetic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8755" y="257171190"/>
          <a:ext cx="1123950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87" name="ID_7B1B8F3323BA414BA2BF3E794CBEA527" descr="Medicube Zero Pore Blackhead Mud Mask 100gm – Springs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65415" y="299272960"/>
          <a:ext cx="1095375" cy="981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89" name="ID_23FE2D1016334E7C816433D2C873A718" descr="ميديكيوب مقشر حمض السكسينيك الأحمر لحب الشباب 40 جرام | جلد دودو – DODOSKIN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84465" y="300429930"/>
          <a:ext cx="1085850" cy="1086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0" name="ID_AF04D53208C949059D52990612139A41" descr="MEDICUBE AGE-R Glutathione Glow Capsule Cream 50ml | DODO SKIN – DODOSKIN"/>
        <xdr:cNvPicPr>
          <a:picLocks noChangeAspect="1" noChangeArrowheads="1"/>
        </xdr:cNvPicPr>
      </xdr:nvPicPr>
      <xdr:blipFill>
        <a:blip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2405" y="301683420"/>
          <a:ext cx="1056005" cy="1141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1" name="ID_5FA59620D92C405B980BA93BBF5BB734" descr="Medicube - *One Day* - Serum Exosome Shot Pore Ampoule 200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55890" y="302907700"/>
          <a:ext cx="1162050" cy="1252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2" name="ID_39B5EE34FB2943C4AE63EBF8D5D32806" descr="Medicube - *Collagen* - Revitalizing Gel Cream Niacinamide Jelly - 50ml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45730" y="304303430"/>
          <a:ext cx="1094105" cy="1114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4" name="ID_ADCBA5BAE8CE483B836BB0217BD13F84" descr="MEDICUBE Collagen Glow Booster Serum 15ml | DODO SKIN – DODOSKIN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305498500"/>
          <a:ext cx="1245870" cy="1132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5" name="ID_B67E03BAC74242C99B9A020BF9724BE6" descr="https://www.officialkbeauty.com/cdn/shop/files/Untitled_design_22.png?v=1741584513&amp;width=1946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3515" y="30675199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6" name="ID_5D1B4CAE05E74B5AB8BBC575526599F0" descr="Buy PDRN Pink Exosome Shot Serum 7500 30ml in Australia - Korean Skincare  Online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0190" y="308045485"/>
          <a:ext cx="1038225" cy="1121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7" name="ID_E99D63AF23504D7689DEAB85D5154865" descr="Buy Medicube - *PDRN Pink* - Hydrating Toner with PDRN and Peptides |  Maquillalia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3990" y="309362475"/>
          <a:ext cx="1095375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8" name="ID_7751FD7B0FE14C7F8B216BC50DCDBD69" descr="Numbuzin No.3 Rice Enzyme Skin Softening Cleansing Foam - 170ml | نمبو –  Wonder Beauties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8740" y="31056770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299" name="ID_F24285F96C7B44B7B49814171357D3FF" descr="Purito Wonder Releaf Centella Eye Cream Unscented - 30ml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0165" y="31185866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00" name="ID_1AE6CF8D14A140E8A5BB7BC63F8DF30B" descr="Purito - *Timeless Bloom* - Retinol Spot Cream"/>
        <xdr:cNvPicPr>
          <a:picLocks noChangeAspect="1" noChangeArrowheads="1"/>
        </xdr:cNvPicPr>
      </xdr:nvPicPr>
      <xdr:blipFill>
        <a:blip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7630" y="313072780"/>
          <a:ext cx="120078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02" name="ID_6BEC596BED714E6EAE319B5C2C4FF470" descr="Round Lab - 1025 Dokdo Cleansing Oil - Regenerujący Olejek do Mycia Twarzy  - 200ml | Twarz \ Oczyszczanie \ Demakijaż | K-Beauty | Sklep KC Beauty Shop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65415" y="314466605"/>
          <a:ext cx="1057275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03" name="ID_FC107B80DB2E41BBACC89DBFACECC7A6" descr="Round Lab Pine Calming Cica Cleanser Canada | #1 Korean Skincare Shop"/>
        <xdr:cNvPicPr>
          <a:picLocks noChangeAspect="1" noChangeArrowheads="1"/>
        </xdr:cNvPicPr>
      </xdr:nvPicPr>
      <xdr:blipFill>
        <a:blip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6840" y="315687710"/>
          <a:ext cx="1198245" cy="1132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05" name="ID_6E0EA3BAED8C4401ABBF1C20837CEDD5" descr="Buy Round Lab Birch Juice Moisturizing Serum, Online in UAE | Nysaa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31692913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06" name="ID_500A48BAC6F44ED288BD377BC26A859C" descr="ROUND LAB Pine Tree Calming Cica Ampoule 30ml | DODO SKIN – DODOSKIN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0165" y="31818897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08" name="ID_C4998C51236E4E2DB6098055B39F4747" descr="Soybean Panthenol Cream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9690" y="31942976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10" name="ID_91FF42639A7E457F9A30169050282003" descr="Moisturizing sunscreen, 50ml - 88097825518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6840" y="320737230"/>
          <a:ext cx="1152525" cy="1199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12" name="ID_DC09E013694B4D7EAB7301A6DA426435" descr="ROUND LAB Birch Juice Moisturizing Tone-Up Sunscreen 50ml (S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2565" y="321968495"/>
          <a:ext cx="1198245" cy="1196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13" name="ID_B1AA3AD414AA42D883D10DBC95565EEF" descr="سيروم مدغشقر سنتيلا لتوحيد وتفتيح لون البشرة | SKIN1004 Madagascar Centella  Tone Brightening Capsule Ampoule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84465" y="323285485"/>
          <a:ext cx="971550" cy="1095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15" name="ID_1A2ADCB648594C0187429E7A9BFCBEE7" descr="Madagascar Centella Poremizing Fresh Ampoule 100ml | 8809576261462 |  Wholesale Products | YESBEE"/>
        <xdr:cNvPicPr>
          <a:picLocks noChangeAspect="1" noChangeArrowheads="1"/>
        </xdr:cNvPicPr>
      </xdr:nvPicPr>
      <xdr:blipFill>
        <a:blip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3515" y="324620890"/>
          <a:ext cx="1009650" cy="1029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17" name="ID_89D813B917874B9BA3F2EC635E1DA1FC" descr="SKIN1004 Madagascar Centella Tea - Trica Spot Cream 20ml/0.67 oz"/>
        <xdr:cNvPicPr>
          <a:picLocks noChangeAspect="1" noChangeArrowheads="1"/>
        </xdr:cNvPicPr>
      </xdr:nvPicPr>
      <xdr:blipFill>
        <a:blip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8740" y="32579564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19" name="ID_69B81B3328AD43A3BD30DCDF81B46123" descr="Elizavecca Hell Pore Control Hyaluronic Acid 97%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8265" y="327141205"/>
          <a:ext cx="1198245" cy="1113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20" name="ID_197568155FE446F3BD33126F8AF7CF2E" descr="TIRTIR Niacinamide 20% Serum | shop online at Boozyshop!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8265" y="32836294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22" name="ID_C1B9C188BC0B41319542C3083FBA8C34" descr="TIRTIR PURE VITAMIN C24 SERUM 30mL Wholesale - Peacock K-Beauty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1140" y="329698350"/>
          <a:ext cx="885825" cy="1086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23" name="ID_F6CDBA20055A487A9D70E0EBF025D905" descr="TIRTIR Milk Skin Light Hidratáló Arctonik 150ml - Whole Good"/>
        <xdr:cNvPicPr>
          <a:picLocks noChangeAspect="1" noChangeArrowheads="1"/>
        </xdr:cNvPicPr>
      </xdr:nvPicPr>
      <xdr:blipFill>
        <a:blip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51115" y="33088262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25" name="ID_0994A5CF1C0D4D58A662A30070626C76" descr="Tir Tir | Sérum SOS - 50 ml | K Beauté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6840" y="33212341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26" name="ID_63B63BB986534EF4BC730C25C36AB2BA" descr="UNOVE NO-WASH WATER AMPOULE TREATMENT 200ml | 8809669502434 | Wholesale  Products | YESBEE"/>
        <xdr:cNvPicPr>
          <a:picLocks noChangeAspect="1" noChangeArrowheads="1"/>
        </xdr:cNvPicPr>
      </xdr:nvPicPr>
      <xdr:blipFill>
        <a:blip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8265" y="33338325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28" name="ID_619023655EA24B4BB83A8CB6F72712CB" descr="UNOVE Silk Oil Essence 70ml | 8809485532844 | Wholesale Products | YESBEE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33465262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30" name="ID_C45327B21F0A42DEAB216339A85F060A" descr="Buy UNOVE Volume Up Fixer 200ml | La Cosmetique AU"/>
        <xdr:cNvPicPr>
          <a:picLocks noChangeAspect="1" noChangeArrowheads="1"/>
        </xdr:cNvPicPr>
      </xdr:nvPicPr>
      <xdr:blipFill>
        <a:blip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0165" y="33594103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32" name="ID_CB4ABAC13F284FF59F3271A7696BEADF" descr="Buy VT Cosmetics Reedle Shot 300hL, Online in UAE | Nysaa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8265" y="33721992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33" name="ID_77952E0B121E46CC80DD2B78F5C2E2D6" descr="Nourishing ARENCIA Black Tea &amp; Yuzu Oil Foam Cleanser"/>
        <xdr:cNvPicPr>
          <a:picLocks noChangeAspect="1" noChangeArrowheads="1"/>
        </xdr:cNvPicPr>
      </xdr:nvPicPr>
      <xdr:blipFill>
        <a:blip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8740" y="33847024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34" name="ID_3C9C5BC0C3EF47A3842A451CBFC5004A" descr="Arencia Blue Hyssop Rice Mochi Cleanser | Arencia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0190" y="339815805"/>
          <a:ext cx="933450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36" name="ID_DE82D259A9654A29A4CF2811AD494528" descr="Amazon.com: ARENCIA Calendula Rice Mochi Fresh Cleanser - Moisturizing,  Brightening &amp; Deep-Cleansing (4.23oz) : Beauty &amp; Personal Care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1140" y="341132160"/>
          <a:ext cx="895350" cy="1000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38" name="ID_618F579D2CEC4BCE863DACA13BB0DE8C" descr="Arencia Fresh Royal Rosehip Cleanser 120g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27315" y="342334850"/>
          <a:ext cx="1114425" cy="1132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40" name="ID_08EAC706E4B24DB2BE7729402E05EAD7" descr="Arencia L'aromatique Calendula Cleanser 120g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55890" y="343633425"/>
          <a:ext cx="1057275" cy="1112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41" name="ID_6C34639DB0104FC89160D8E20E5625F2" descr="Arencia Rice Mucin Cleanser 120g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45730" y="344826590"/>
          <a:ext cx="115125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42" name="ID_14C690EE4E934E05BC0F0A1C1A162128" descr="[-10%] Arencia Fresh Rosehip Mochi Cleanser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55890" y="346133420"/>
          <a:ext cx="1057275" cy="1048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45" name="ID_007E5DA63388402A9641310CCFB8CE8E" descr="Amazon.com : ARENCIA Overnight Red Smoothie Face Mask Serum, Glowing &amp;  Soothing with 30% red collagen, Niacinamide, Peptide, Vitamin E : Beauty &amp;  Personal Care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0980" y="347441520"/>
          <a:ext cx="87693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47" name="ID_DE9A117E672D4BC6A6860386F3A52744" descr="Amazon.com: Arencia Red Collagen + Peptide Smoothie Serum, 8% Niacinamide,  Vitamin C, Vitamin E, lifting anti-aging serum for skin texture for glass  skin : Beauty &amp; Personal Care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3040" y="348710885"/>
          <a:ext cx="904875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48" name="ID_64D922E9D3C84654A828B331C23C7F82" descr="Holy Hyssop Serum 30 - 50 g"/>
        <xdr:cNvPicPr>
          <a:picLocks noChangeAspect="1" noChangeArrowheads="1"/>
        </xdr:cNvPicPr>
      </xdr:nvPicPr>
      <xdr:blipFill>
        <a:blip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8740" y="349989775"/>
          <a:ext cx="1104900" cy="1102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49" name="ID_17CA9994F0E64DA8BA6C86719A222B9D" descr="celimax Noni Acne Bubble Cleanser | Mild Formula Face Wash for Sensitive to  Oily Dry Combination Skin Calming, Soothing, Exfoliating, 155ml : ...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84465" y="351201990"/>
          <a:ext cx="933450" cy="1123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64" name="ID_0A25DB927EC5404C90C472790E664B45" descr="medicube - Red Succinic Acid Serum – KoreanSet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8265" y="35373119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66" name="ID_1DC1A8ABA4A648B8AA041AEDB091DE0D" descr="Medicube TXA NIACINAMAIDE 15 SERUM 30ml - Korean shop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27315" y="35500056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67" name="ID_CF68EB0A5DFE4E09A52C8BA8022CE919" descr="Medicube - Exosome Cica Ampoule | Redness Relief Serum | 100% Original  Products | Worldwide Shipping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74940" y="356346125"/>
          <a:ext cx="971550" cy="1047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69" name="ID_7339C5DD854645908FEBEBB14B303B8E" descr="Medicube - *One Day* - Multifunctional cream Zero Pore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3355" y="357596440"/>
          <a:ext cx="972185" cy="1114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71" name="ID_6563DB0217644F69B9D09AC24BEB92D0" descr="Medicube DEEP VITA C AMPOULE (pack of 3) Wholesale - Peacock K-Beauty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2090" y="358837230"/>
          <a:ext cx="1009650" cy="1095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72" name="ID_858BA7DCA237410382DF2CEE66E53647" descr="[MEDICUBE] Deep Lifting Peptide Eye Cream For Face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08265" y="360135170"/>
          <a:ext cx="1045845" cy="110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74" name="ID_8A1478635F01419582AE964BF96FE790" descr="Medicube Deep Vita A Retinol Serum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0165" y="36132833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75" name="ID_B3F9AADF96D94B1EB0B4B13FC63069A7" descr="MEDICUBE PDRN Éjszakai Ajakmaszk 10g - Whole Goods Webáruház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0505" y="362750100"/>
          <a:ext cx="819785" cy="981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76" name="ID_CAC7D675D9A744D993BDBAB8D661D3AA" descr="ميديكوب - سيروم أيج-آر بالجلوتاثيون للتوهج 30 جم (الإصدار المجدد)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46365" y="363952790"/>
          <a:ext cx="1076325" cy="1028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77" name="ID_E0A746CA3F38454DBFA8EBD8E007A89B" descr="Zero Pore One Day Serum 30ml - Medicube - K-Skin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74940" y="365211995"/>
          <a:ext cx="1028700" cy="1105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79" name="ID_EF45A6E0A55548DA835281F120BD44A4" descr="Medicube Triple Collagen Serum – thekshop.ca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55890" y="366481995"/>
          <a:ext cx="1122045" cy="1095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80" name="ID_E1140CEC8D2145C2AA79694AA8ED7262" descr="ماسك تفتيح وتوهج البشرة من سكين 1004 | SKIN1004 Madagascar Centella Tone  Brightening Glow Mask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2565" y="367770410"/>
          <a:ext cx="1009650" cy="1145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81" name="ID_536E5E75376D45FAB6F7DF966517045A" descr="Skin1004 Madagascar Centella Poremizing Clarifying Mask – Kiko &amp; Beauty"/>
        <xdr:cNvPicPr>
          <a:picLocks noChangeAspect="1" noChangeArrowheads="1"/>
        </xdr:cNvPicPr>
      </xdr:nvPicPr>
      <xdr:blipFill>
        <a:blip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8740" y="36895405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82" name="ID_3DDA3145F3D740F8B3D5088265AA311E" descr="Anua | Heartleaf Cream Mask Night Solution | Sheet Mask – Moona Store"/>
        <xdr:cNvPicPr>
          <a:picLocks noChangeAspect="1" noChangeArrowheads="1"/>
        </xdr:cNvPicPr>
      </xdr:nvPicPr>
      <xdr:blipFill>
        <a:blip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37022341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83" name="ID_7719B89E41F54E508C55D4F246715FD0" descr="Buy Anua Vitamin C Blemish Serum Mask 25ml - SkinNora - Best Korean  Cosmetics and Skin Care Products in Bangladesh"/>
        <xdr:cNvPicPr>
          <a:picLocks noChangeAspect="1" noChangeArrowheads="1"/>
        </xdr:cNvPicPr>
      </xdr:nvPicPr>
      <xdr:blipFill>
        <a:blip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37146420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85" name="ID_8F52C12089594254B82F370BF4882860" descr="ANUA Heartleaf 80 Moisture Soothing Ampoule Mask 80%高濃度魚腥草精華修護舒緩面膜【平行進口】 8809640732508 exp2026.9.13｜YES HK"/>
        <xdr:cNvPicPr>
          <a:picLocks noChangeAspect="1" noChangeArrowheads="1"/>
        </xdr:cNvPicPr>
      </xdr:nvPicPr>
      <xdr:blipFill>
        <a:blip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3355" y="372809770"/>
          <a:ext cx="106743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87" name="ID_757F2DF3817F4C6889A90BAE54EC265C" descr="Skin1004 Madagascar Centella Watergel Sheet Ampoule Mask : Amazon.co.uk:  Beauty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27340" y="374098185"/>
          <a:ext cx="80962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89" name="ID_1FD3C8AEE1CC44B499450E0AB8AF3BD8" descr="Eucerin Sunscreen Cream Gel SPF50+ for oily skin and acne 50 ml - دار  الأميرات - أكبر تجمع لمنتجات العناية"/>
        <xdr:cNvPicPr>
          <a:picLocks noChangeAspect="1" noChangeArrowheads="1"/>
        </xdr:cNvPicPr>
      </xdr:nvPicPr>
      <xdr:blipFill>
        <a:blip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1610" y="375300875"/>
          <a:ext cx="1040130" cy="1209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91" name="ID_7FFAC57A955B493FBCE84658AC0FFA97" descr="DERMATO CLENSING GEL | CH Tralee | Ireland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89215" y="37656071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92" name="ID_B7E5CDD3FB91489389845DD3315D0F86" descr="Udsalg: Dermopurifyer Toner Ml • Eucerin Med Rabat! âž¤ 4005800182020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37785865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93" name="ID_744B464DB7474DD4AF90CE8AE374BE23" descr="EUCERIN DERMO PURIFYING OIL CONTROL CLEANSING GEL 200ML - Cashmere Cosmetics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8740" y="37909944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94" name="ID_92BBF33C76B24DAFA576708E75B48DC2" descr="Eucerin Dermatoclean Toner 200 ml | lyko.com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117840" y="380359285"/>
          <a:ext cx="442595" cy="1250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96" name="ID_46FC84856D1749C2B323C1752DF7EF43" descr="DERMATO CLEAN 3 IN 1 MICELLAR WATER | CH Tralee | Ireland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6840" y="38163817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97" name="ID_9FB87234FC6E4226A33DF71EEFE20EAE" descr="Eucerin Dermo Purifyer Oil Control Scrub 100ml | Always There Pharmacy |  Carlow | Co. Carlow |Ireland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9690" y="38292659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399" name="ID_D3661AA743184B80954D865EEDC9F22B" descr="Köp Eucerin UreaRepair 5% Urea Gentle Shower Gel 400 ml på apotea.se"/>
        <xdr:cNvPicPr>
          <a:picLocks noChangeAspect="1" noChangeArrowheads="1"/>
        </xdr:cNvPicPr>
      </xdr:nvPicPr>
      <xdr:blipFill>
        <a:blip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155" y="384234055"/>
          <a:ext cx="1048385" cy="1066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02" name="ID_426962F1B4674F32A8DF9AD7733CFE99" descr="Dr.Althea Green Relief Amino Gel Cleanser 100ml – SoKoSkins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36840" y="38672516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04" name="ID_6ACBB498F8354A5694A338AECA228FE1" descr="Dr.Althea Gentle Vitamin C Serum 30ml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2405" y="388051040"/>
          <a:ext cx="1029335" cy="1086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05" name="ID_7A0873DC6CC94A3F9EFAA887FC21F37C" descr="Buy for €17 Facial essence for skin radiance Natural Radiance Essence Dr.  Althea Pro Lab 30 ml with delivery in Ukraine and international shipping |  LANTALE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46365" y="38925436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07" name="ID_AEC933157C8D445F8D5C53F7CCFEA820" descr="Dr.Althea Skin Relief Essence 30ml - Best korean skincare products in India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46365" y="390495155"/>
          <a:ext cx="107632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09" name="ID_D3965E74CE8445D5AF4D7004950A8158" descr="Dr.Althea 345 Relief Cream | Daily Face Moisturizer | Blemish Relief Care |  Soothing Recovery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0190" y="391802620"/>
          <a:ext cx="885825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19" name="ID_46E24B22F9AA4EFA8C48753B92DFF1B6" descr="PEGA ULTRA GLUED INVICIBLE 1.25 OZ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8740" y="39561071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20" name="ID_E594E809B3944C1080DB448DB79A0483" descr="Buy Numbuzin - Soothing Serum No.1 Pantothenic B5 Active | Maquillalia"/>
        <xdr:cNvPicPr>
          <a:picLocks noChangeAspect="1" noChangeArrowheads="1"/>
        </xdr:cNvPicPr>
      </xdr:nvPicPr>
      <xdr:blipFill>
        <a:blip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396889605"/>
          <a:ext cx="1198245" cy="1133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21" name="ID_9B8BBA968E174D10825A847D9F6C506B" descr="I'm Sorry For My Skin Serum Honey Beam - Veli store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2565" y="398168495"/>
          <a:ext cx="1009650" cy="1085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26" name="ID_6457B75021AE45DF954AF7987973885C" descr="St. Dalfour - Glutathione Whitening Soap, 135g - دار الأميرات - أكبر تجمع  لمنتجات العناية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3990" y="400754850"/>
          <a:ext cx="942975" cy="1147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28" name="ID_92A2E9F5AF604C50A684A0D30EF0D895" descr="Laneige lip sleeping mask EX berry 20g | 8809685797173 | Wholesale Products  | YESBEE"/>
        <xdr:cNvPicPr>
          <a:picLocks noChangeAspect="1" noChangeArrowheads="1"/>
        </xdr:cNvPicPr>
      </xdr:nvPicPr>
      <xdr:blipFill>
        <a:blip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3515" y="402052790"/>
          <a:ext cx="952500" cy="1102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34" name="ID_FFE94A8057C34D6C8EA090464CEE7B83" descr="Secret Key Snow White Cream 50g (brightening) – Beauty Korea Dubai"/>
        <xdr:cNvPicPr>
          <a:picLocks noChangeAspect="1" noChangeArrowheads="1"/>
        </xdr:cNvPicPr>
      </xdr:nvPicPr>
      <xdr:blipFill>
        <a:blip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89215" y="403207855"/>
          <a:ext cx="117919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06" name="ID_D0969B0BECD74F8ABC2DAD8A45C50E8A" descr="Secret Key Snow White Gel for Spot Treatment, 65 ml -"/>
        <xdr:cNvPicPr>
          <a:picLocks noChangeAspect="1" noChangeArrowheads="1"/>
        </xdr:cNvPicPr>
      </xdr:nvPicPr>
      <xdr:blipFill>
        <a:blip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7790" y="404572470"/>
          <a:ext cx="113347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12" name="ID_269F61812FC94ABF9C1380316DE93301" descr="AGE-R Glutathione Glow Toner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65415" y="407158825"/>
          <a:ext cx="107632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14" name="ID_196A1088B6C84537BED71DB17AA8D77C" descr="Embryolisse Concentrated 24 Hour Miracle Cream, 1.0 Fluid Ounce 30 ml (Pack  of 1) Ivory : Amazon.ae: Beauty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84465" y="408341830"/>
          <a:ext cx="1133475" cy="1086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15" name="ID_E32B793E69E949BB8EB7D032751972E8" descr="Vaseline Lip therapy rosy lips 20g | Voordelig online kopen | Drogist.nl"/>
        <xdr:cNvPicPr>
          <a:picLocks noChangeAspect="1" noChangeArrowheads="1"/>
        </xdr:cNvPicPr>
      </xdr:nvPicPr>
      <xdr:blipFill>
        <a:blip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98130" y="409792805"/>
          <a:ext cx="953135" cy="899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24" name="ID_EA73826B2F294245B75D2265A48C6B32" descr="ST.DALFOUR Gluta Sunscreen Cream SPF 60 PA++ x 30 ml for Sun Protection:  Buy Online at Best Price in UAE - Amazon.ae"/>
        <xdr:cNvPicPr>
          <a:picLocks noChangeAspect="1" noChangeArrowheads="1"/>
        </xdr:cNvPicPr>
      </xdr:nvPicPr>
      <xdr:blipFill>
        <a:blip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74965" y="412331535"/>
          <a:ext cx="657225" cy="82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25" name="ID_F0432232B7A74FB99A24E47E96E24F0B" descr="كريم دالفور الفلبيني لتفتيح البشرة - شركة المنتج الراقي للتجارة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0665" y="413458025"/>
          <a:ext cx="990600" cy="1076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31" name="ID_60E6E8DB3AA147508C97D591951584E3" descr="La Roche-PosayAnthelios UVmune 400 Invisible Fluid SPF50+ 50ml"/>
        <xdr:cNvPicPr>
          <a:picLocks noChangeAspect="1" noChangeArrowheads="1"/>
        </xdr:cNvPicPr>
      </xdr:nvPicPr>
      <xdr:blipFill>
        <a:blip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98740" y="417170870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32" name="ID_961CF0B4E0BC40C683DD7980181FAFC9" descr="La Roche-Posay Anthelios Uvmune 400 Oil Control Invisible Fluid SPF50+ 50ml  | BabyMall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89215" y="41844023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40" name="ID_C38414FF212944CE8DF0D7D8523E5D78" descr="Beta Panthenol Repair Serum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74305" y="423574845"/>
          <a:ext cx="981075" cy="110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42" name="ID_0BD313C160E0488DB6C639DE4D134019" descr="Buy SOME BY MI - Truecica Mineral Calming Tone-Up Suncream in Bulk |  AsianBeautyWholesale.com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79690" y="424796585"/>
          <a:ext cx="1198245" cy="1198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443" name="ID_1AB27A0C6474422FAEC2793E6D4978F9" descr="AHA, BHA, PHA 30 Days Miracle Serum, 1.69 fl oz (50 ml)"/>
        <xdr:cNvPicPr>
          <a:picLocks noChangeAspect="1" noChangeArrowheads="1"/>
        </xdr:cNvPicPr>
      </xdr:nvPicPr>
      <xdr:blipFill>
        <a:blip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74940" y="426151675"/>
          <a:ext cx="10572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</etc:cellImage>
  <etc:cellImage>
    <xdr:pic>
      <xdr:nvPicPr>
        <xdr:cNvPr id="79" name="ID_7DC7A13015094738A233FA1F654F293E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7656830" y="427368970"/>
          <a:ext cx="1394460" cy="1148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2" name="ID_FD5DBA124314456AAF1D34739C58D274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7906385" y="426037375"/>
          <a:ext cx="4648200" cy="3228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3" name="ID_074ECDB8FF494486A25D9027ABD9DAB4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7906385" y="427306740"/>
          <a:ext cx="3238500" cy="2486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7" name="ID_C0AF22A981C5421FBC63DF3C9DE53C10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7906385" y="431112295"/>
          <a:ext cx="4095750" cy="5095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8" name="ID_481B5C22D87F470280D5473CC601D848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7906385" y="432381660"/>
          <a:ext cx="3228975" cy="5438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9AAD39EE60EC4F68829EFCCB3358A932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7906385" y="433651025"/>
          <a:ext cx="3219450" cy="3943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1" name="ID_A402A1E4C60740218B01A007DFDCB83B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7906385" y="434920390"/>
          <a:ext cx="3667125" cy="5476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2" name="ID_2A12E151165C4BF396A23AA6CA3E58C3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7906385" y="436189755"/>
          <a:ext cx="3143250" cy="6238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A7CB29953288420095DC61C61FB9D35C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7906385" y="437459120"/>
          <a:ext cx="3848100" cy="613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8DCE0F7C12514754B964A4F7CEADFA88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8035290" y="438831355"/>
          <a:ext cx="4286250" cy="4514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7A2F945BCEFC4D37AA7D1BAD57D967C9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7924165" y="440006740"/>
          <a:ext cx="6343650" cy="4429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10C834BE86204B2D9546DB3ED2C6FD9A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906385" y="441267215"/>
          <a:ext cx="3143250" cy="4152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6F1A778BD9814C64A120DC14F1501516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7906385" y="442536580"/>
          <a:ext cx="3333750" cy="5334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05DA771A15E447B592BADCAABB9CF38D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7906385" y="443805945"/>
          <a:ext cx="3905250" cy="5086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F2C366DA0D98469593EB4E6C5CF9CE2D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7906385" y="443998985"/>
          <a:ext cx="4057650" cy="5524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7DA2117262A74F068808420805B35D03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7906385" y="448885945"/>
          <a:ext cx="2952750" cy="4343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C4BF65FA9E304C1BB30F892639B7DD01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7906385" y="445205485"/>
          <a:ext cx="4000500" cy="5438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FE53049B1F0D4F25B7C81E244812F1E3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7906385" y="447128265"/>
          <a:ext cx="3762375" cy="5381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DA1C7C5F59B44176AFEF6C7229CA6A41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7906385" y="449675885"/>
          <a:ext cx="4143375" cy="5810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22D998862FCF48438E1748A142FFCBB1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7906385" y="451833615"/>
          <a:ext cx="4943475" cy="5867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F7ABC911F0E146F9BE476EB27439436C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7906385" y="453515095"/>
          <a:ext cx="4152900" cy="5791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F3E18B4C4FC649D8926321CFE933E757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7906385" y="455486770"/>
          <a:ext cx="4648200" cy="5762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E45CF644A25A417F8B8FCFEBCA7BD836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7906385" y="457241910"/>
          <a:ext cx="4229100" cy="6572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C062042809EB4BF590A33554C8C7ACEE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7906385" y="459436470"/>
          <a:ext cx="2667000" cy="4791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8C860C84529A4142BC4A1D95EF3D7DA0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7906385" y="461969485"/>
          <a:ext cx="3228975" cy="500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F905F0027AF2481A826C4A01598BF9E4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7906385" y="464156425"/>
          <a:ext cx="3381375" cy="6572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AAF61DC66329465AAA0D20DDAB700090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7906385" y="466895815"/>
          <a:ext cx="3095625" cy="5048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FE064749F4CF4A338781BA163A6674D7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7906385" y="469197690"/>
          <a:ext cx="3467100" cy="6486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C2CEFE40DAFE424F9782F86362E062B3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7906385" y="471834845"/>
          <a:ext cx="3943350" cy="5133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6B208BD2B8BE4C4F9AAF181393DF4BF6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7906385" y="473676980"/>
          <a:ext cx="4286250" cy="685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ADF043E418A048C196D0BAF8EE93746D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7906385" y="475935675"/>
          <a:ext cx="3105150" cy="5086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1991CD057C524114A1BB3AAC45A5B514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7906385" y="478247710"/>
          <a:ext cx="4791075" cy="628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314DE85332B140619B121CF88A6E41B1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7906385" y="480103815"/>
          <a:ext cx="3133725" cy="500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EC8C52C4C07147818A23D6F9C6A88769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7906385" y="482356795"/>
          <a:ext cx="4105275" cy="490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7ED7A4D970C64F56ADE77F45667FC2FC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7906385" y="489501815"/>
          <a:ext cx="5057775" cy="5695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5F36B80A316C4654A1DDB4A6E2C297F5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7906385" y="491098205"/>
          <a:ext cx="4762500" cy="7705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88D97FEB1C344F89A6904A5BE5BA1EEE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7906385" y="493382300"/>
          <a:ext cx="3429000" cy="4333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97A55F4D11544A479A105A53A959B3CE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7906385" y="495171095"/>
          <a:ext cx="3438525" cy="546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40685800248E41ADA1E51FE51B195BC8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7906385" y="497415820"/>
          <a:ext cx="4238625" cy="5229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089A5BDF75464CCBA40D0E0412CF8BBF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7906385" y="499162705"/>
          <a:ext cx="4038600" cy="5286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70B33D6196A64BFBBFE5E30DAC19C96C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7906385" y="501015000"/>
          <a:ext cx="3333750" cy="532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9041D38109B94B2FA1AA1265958C4D61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7906385" y="503269885"/>
          <a:ext cx="3419475" cy="4229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F4821A2E7D3340208C5D417903B4AF20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7906385" y="506020705"/>
          <a:ext cx="3905250" cy="4933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7E7953AFFD3241AFB4CC89F8A8EB7EAD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7906385" y="507808865"/>
          <a:ext cx="4467225" cy="5095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5CDF164C2B1F4B5A8A047EACBC7159BF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7906385" y="509425575"/>
          <a:ext cx="4095750" cy="4867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0" name="ID_B3922E6834B5474AAD2A5A45AF4144A7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7906385" y="511108960"/>
          <a:ext cx="4295775" cy="5362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9" name="ID_7ED6FF1A09AC4DA8ACE0DDDE6AD5A665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7906385" y="512876165"/>
          <a:ext cx="4000500" cy="4914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8706C7ED80814960BAF3D78388A14C18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7906385" y="514616065"/>
          <a:ext cx="6715125" cy="4714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032A459F4B1E4548AA8F0732C0C5A055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7906385" y="515620000"/>
          <a:ext cx="4800600" cy="609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DDD5ED6DE77B4355BF44092FD5902983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7906385" y="517417050"/>
          <a:ext cx="4572000" cy="3657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70715DCD553B4B28A918067F619F1A86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7906385" y="521956665"/>
          <a:ext cx="4000500" cy="5048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C5CB43D5171048F894878439DD93E68B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7906385" y="523742920"/>
          <a:ext cx="5724525" cy="6134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4F81D50272D24D2F81762960218459DE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7906385" y="525263110"/>
          <a:ext cx="5562600" cy="7610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22DFC8B8E1B741C09009317728B35606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7906385" y="527197955"/>
          <a:ext cx="5086350" cy="3952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3663A34DA6464F58BB4D79CC9CF4B296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7906385" y="528306665"/>
          <a:ext cx="4486275" cy="6000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C200C5EE4FA04869B1B58249BFBC1E7F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7906385" y="530198965"/>
          <a:ext cx="5153025" cy="4286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E425733AB87D4BC983746E3C995782BB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7906385" y="531383875"/>
          <a:ext cx="3857625" cy="5438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59CDD91657DE48278B9D19DE421CF52E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7906385" y="533377140"/>
          <a:ext cx="3124200" cy="5324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E7C67A241A684C9EBF52A6B0F9E809C4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7906385" y="535781885"/>
          <a:ext cx="5143500" cy="8153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63DA3792C44B4F05BAEC8898F3B50030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7906385" y="541410525"/>
          <a:ext cx="4086225" cy="7858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8E23DBC3E5E14AD6BFB6DFFBE6DD8AE1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7906385" y="544120705"/>
          <a:ext cx="4038600" cy="5286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39F394AA237D4A68961C1953617254FC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7906385" y="545973000"/>
          <a:ext cx="4743450" cy="4429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26FC0D61636F4D80B27D35D48BD3EB26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7906385" y="547300785"/>
          <a:ext cx="4238625" cy="5372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26DF4A8DB3F94C94AF6A1616D4676BD4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7906385" y="549094660"/>
          <a:ext cx="6086475" cy="5343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1" name="ID_5F42A13B56824FA6B765B072A293CAC0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7906385" y="550344340"/>
          <a:ext cx="4324350" cy="4819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2" name="ID_CE3D61C83825483582094C903C851D9E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>
          <a:off x="7906385" y="551924855"/>
          <a:ext cx="4143375" cy="4667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4" name="ID_D3B67899097C456DBCBDD881FD9B1162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7906385" y="555631350"/>
          <a:ext cx="6134100" cy="5676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5" name="ID_9EB2CB95071A409F8BF99A69DF1A0A68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7906385" y="556947070"/>
          <a:ext cx="4105275" cy="542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6" name="ID_5E8AB191CEE248298C5063CDABCC50BF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7906385" y="558817780"/>
          <a:ext cx="3371850" cy="5381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7" name="ID_FE5CAE6242B6427F800CB9FA3D3712AC"/>
        <xdr:cNvPicPr>
          <a:picLocks noChangeAspect="1"/>
        </xdr:cNvPicPr>
      </xdr:nvPicPr>
      <xdr:blipFill>
        <a:blip r:embed="rId187"/>
        <a:stretch>
          <a:fillRect/>
        </a:stretch>
      </xdr:blipFill>
      <xdr:spPr>
        <a:xfrm>
          <a:off x="7906385" y="561070760"/>
          <a:ext cx="4791075" cy="5857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8" name="ID_84C86FDE6E094B4383D6731BBF110013"/>
        <xdr:cNvPicPr>
          <a:picLocks noChangeAspect="1"/>
        </xdr:cNvPicPr>
      </xdr:nvPicPr>
      <xdr:blipFill>
        <a:blip r:embed="rId188"/>
        <a:stretch>
          <a:fillRect/>
        </a:stretch>
      </xdr:blipFill>
      <xdr:spPr>
        <a:xfrm>
          <a:off x="7906385" y="562802405"/>
          <a:ext cx="6181725" cy="6191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9" name="ID_28610FD4EDD4463CA701B7FB009978A7"/>
        <xdr:cNvPicPr>
          <a:picLocks noChangeAspect="1"/>
        </xdr:cNvPicPr>
      </xdr:nvPicPr>
      <xdr:blipFill>
        <a:blip r:embed="rId189"/>
        <a:stretch>
          <a:fillRect/>
        </a:stretch>
      </xdr:blipFill>
      <xdr:spPr>
        <a:xfrm>
          <a:off x="7906385" y="564224805"/>
          <a:ext cx="4133850" cy="4629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0" name="ID_42F39675DFA143E3B73761242C124032"/>
        <xdr:cNvPicPr>
          <a:picLocks noChangeAspect="1"/>
        </xdr:cNvPicPr>
      </xdr:nvPicPr>
      <xdr:blipFill>
        <a:blip r:embed="rId190"/>
        <a:stretch>
          <a:fillRect/>
        </a:stretch>
      </xdr:blipFill>
      <xdr:spPr>
        <a:xfrm>
          <a:off x="7906385" y="565812305"/>
          <a:ext cx="3571875" cy="4191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1" name="ID_728FC7D1778E43A682F3D4D28FB75516"/>
        <xdr:cNvPicPr>
          <a:picLocks noChangeAspect="1"/>
        </xdr:cNvPicPr>
      </xdr:nvPicPr>
      <xdr:blipFill>
        <a:blip r:embed="rId191"/>
        <a:stretch>
          <a:fillRect/>
        </a:stretch>
      </xdr:blipFill>
      <xdr:spPr>
        <a:xfrm>
          <a:off x="7906385" y="567474735"/>
          <a:ext cx="4152900" cy="524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2" name="ID_254018CEB6E74A808B8AAF65BCB48E5F"/>
        <xdr:cNvPicPr>
          <a:picLocks noChangeAspect="1"/>
        </xdr:cNvPicPr>
      </xdr:nvPicPr>
      <xdr:blipFill>
        <a:blip r:embed="rId192"/>
        <a:stretch>
          <a:fillRect/>
        </a:stretch>
      </xdr:blipFill>
      <xdr:spPr>
        <a:xfrm>
          <a:off x="7906385" y="569263530"/>
          <a:ext cx="4362450" cy="3943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3" name="ID_44774FB7A07D4F7284AC9317EF999A28"/>
        <xdr:cNvPicPr>
          <a:picLocks noChangeAspect="1"/>
        </xdr:cNvPicPr>
      </xdr:nvPicPr>
      <xdr:blipFill>
        <a:blip r:embed="rId193"/>
        <a:stretch>
          <a:fillRect/>
        </a:stretch>
      </xdr:blipFill>
      <xdr:spPr>
        <a:xfrm>
          <a:off x="7906385" y="570549405"/>
          <a:ext cx="4000500" cy="5048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4" name="ID_64226257359A48F29B229DB521EB3A9E"/>
        <xdr:cNvPicPr>
          <a:picLocks noChangeAspect="1"/>
        </xdr:cNvPicPr>
      </xdr:nvPicPr>
      <xdr:blipFill>
        <a:blip r:embed="rId194"/>
        <a:stretch>
          <a:fillRect/>
        </a:stretch>
      </xdr:blipFill>
      <xdr:spPr>
        <a:xfrm>
          <a:off x="7906385" y="572335660"/>
          <a:ext cx="4286250" cy="5038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5" name="ID_93348007F6524F3E91C485CC470F8A19"/>
        <xdr:cNvPicPr>
          <a:picLocks noChangeAspect="1"/>
        </xdr:cNvPicPr>
      </xdr:nvPicPr>
      <xdr:blipFill>
        <a:blip r:embed="rId195"/>
        <a:stretch>
          <a:fillRect/>
        </a:stretch>
      </xdr:blipFill>
      <xdr:spPr>
        <a:xfrm>
          <a:off x="7906385" y="574001265"/>
          <a:ext cx="3629025" cy="4867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6" name="ID_B5A33664F387441C9FBEBD90E887753F"/>
        <xdr:cNvPicPr>
          <a:picLocks noChangeAspect="1"/>
        </xdr:cNvPicPr>
      </xdr:nvPicPr>
      <xdr:blipFill>
        <a:blip r:embed="rId196"/>
        <a:stretch>
          <a:fillRect/>
        </a:stretch>
      </xdr:blipFill>
      <xdr:spPr>
        <a:xfrm>
          <a:off x="7906385" y="575978655"/>
          <a:ext cx="4095750" cy="618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7" name="ID_652ABA61077B44F7970834189389847C"/>
        <xdr:cNvPicPr>
          <a:picLocks noChangeAspect="1"/>
        </xdr:cNvPicPr>
      </xdr:nvPicPr>
      <xdr:blipFill>
        <a:blip r:embed="rId197"/>
        <a:stretch>
          <a:fillRect/>
        </a:stretch>
      </xdr:blipFill>
      <xdr:spPr>
        <a:xfrm>
          <a:off x="7906385" y="578029705"/>
          <a:ext cx="4505325" cy="4714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8" name="ID_3C6ABD3698CF4F0A90ACF6CA3A673DA1"/>
        <xdr:cNvPicPr>
          <a:picLocks noChangeAspect="1"/>
        </xdr:cNvPicPr>
      </xdr:nvPicPr>
      <xdr:blipFill>
        <a:blip r:embed="rId198"/>
        <a:stretch>
          <a:fillRect/>
        </a:stretch>
      </xdr:blipFill>
      <xdr:spPr>
        <a:xfrm>
          <a:off x="7906385" y="579480045"/>
          <a:ext cx="3705225" cy="4857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9" name="ID_ADECC770C2714D1887FBCE2FF866A7B1"/>
        <xdr:cNvPicPr>
          <a:picLocks noChangeAspect="1"/>
        </xdr:cNvPicPr>
      </xdr:nvPicPr>
      <xdr:blipFill>
        <a:blip r:embed="rId199"/>
        <a:stretch>
          <a:fillRect/>
        </a:stretch>
      </xdr:blipFill>
      <xdr:spPr>
        <a:xfrm>
          <a:off x="7906385" y="580280145"/>
          <a:ext cx="4467225" cy="472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0" name="ID_A182E92B57BD4504B4A935B5DA825D52"/>
        <xdr:cNvPicPr>
          <a:picLocks noChangeAspect="1"/>
        </xdr:cNvPicPr>
      </xdr:nvPicPr>
      <xdr:blipFill>
        <a:blip r:embed="rId200"/>
        <a:stretch>
          <a:fillRect/>
        </a:stretch>
      </xdr:blipFill>
      <xdr:spPr>
        <a:xfrm>
          <a:off x="7906385" y="582261345"/>
          <a:ext cx="4981575" cy="6715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1" name="ID_45649BD7740548AF954AD544563977E0"/>
        <xdr:cNvPicPr>
          <a:picLocks noChangeAspect="1"/>
        </xdr:cNvPicPr>
      </xdr:nvPicPr>
      <xdr:blipFill>
        <a:blip r:embed="rId201"/>
        <a:stretch>
          <a:fillRect/>
        </a:stretch>
      </xdr:blipFill>
      <xdr:spPr>
        <a:xfrm>
          <a:off x="7906385" y="584781025"/>
          <a:ext cx="3505200" cy="4133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2" name="ID_70D18F0D1ACC4D94B640B7E26C63D2E9"/>
        <xdr:cNvPicPr>
          <a:picLocks noChangeAspect="1"/>
        </xdr:cNvPicPr>
      </xdr:nvPicPr>
      <xdr:blipFill>
        <a:blip r:embed="rId202"/>
        <a:stretch>
          <a:fillRect/>
        </a:stretch>
      </xdr:blipFill>
      <xdr:spPr>
        <a:xfrm>
          <a:off x="7906385" y="586988285"/>
          <a:ext cx="3486150" cy="5057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3" name="ID_74E39F17FEAB4F35A62FD0174C5CFE30"/>
        <xdr:cNvPicPr>
          <a:picLocks noChangeAspect="1"/>
        </xdr:cNvPicPr>
      </xdr:nvPicPr>
      <xdr:blipFill>
        <a:blip r:embed="rId203"/>
        <a:stretch>
          <a:fillRect/>
        </a:stretch>
      </xdr:blipFill>
      <xdr:spPr>
        <a:xfrm>
          <a:off x="7906385" y="589698465"/>
          <a:ext cx="3676650" cy="542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4" name="ID_564AC6A76BD5420095C917E713EA78F7"/>
        <xdr:cNvPicPr>
          <a:picLocks noChangeAspect="1"/>
        </xdr:cNvPicPr>
      </xdr:nvPicPr>
      <xdr:blipFill>
        <a:blip r:embed="rId204"/>
        <a:stretch>
          <a:fillRect/>
        </a:stretch>
      </xdr:blipFill>
      <xdr:spPr>
        <a:xfrm>
          <a:off x="7906385" y="592456270"/>
          <a:ext cx="3419475" cy="4667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B143B8E293A44CBFB05F1688521441C8"/>
        <xdr:cNvPicPr>
          <a:picLocks noChangeAspect="1"/>
        </xdr:cNvPicPr>
      </xdr:nvPicPr>
      <xdr:blipFill>
        <a:blip r:embed="rId205"/>
        <a:stretch>
          <a:fillRect/>
        </a:stretch>
      </xdr:blipFill>
      <xdr:spPr>
        <a:xfrm>
          <a:off x="7906385" y="595007065"/>
          <a:ext cx="4810125" cy="6724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9" name="ID_94E9F07BC64B463894CEF6B4D336D558"/>
        <xdr:cNvPicPr>
          <a:picLocks noChangeAspect="1"/>
        </xdr:cNvPicPr>
      </xdr:nvPicPr>
      <xdr:blipFill>
        <a:blip r:embed="rId206"/>
        <a:stretch>
          <a:fillRect/>
        </a:stretch>
      </xdr:blipFill>
      <xdr:spPr>
        <a:xfrm>
          <a:off x="7906385" y="606085910"/>
          <a:ext cx="4276725" cy="3228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0" name="ID_67083F3D769247DC8D2E70F9C7C0DCE7"/>
        <xdr:cNvPicPr>
          <a:picLocks noChangeAspect="1"/>
        </xdr:cNvPicPr>
      </xdr:nvPicPr>
      <xdr:blipFill>
        <a:blip r:embed="rId207"/>
        <a:stretch>
          <a:fillRect/>
        </a:stretch>
      </xdr:blipFill>
      <xdr:spPr>
        <a:xfrm>
          <a:off x="7906385" y="607507040"/>
          <a:ext cx="4724400" cy="457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48CAAB14FCE4404BB5740064BFEA7860"/>
        <xdr:cNvPicPr>
          <a:picLocks noChangeAspect="1"/>
        </xdr:cNvPicPr>
      </xdr:nvPicPr>
      <xdr:blipFill>
        <a:blip r:embed="rId208"/>
        <a:stretch>
          <a:fillRect/>
        </a:stretch>
      </xdr:blipFill>
      <xdr:spPr>
        <a:xfrm>
          <a:off x="7906385" y="609321870"/>
          <a:ext cx="4476750" cy="4152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548A63B7C6EB4A8A9B69363545EB8B18"/>
        <xdr:cNvPicPr>
          <a:picLocks noChangeAspect="1"/>
        </xdr:cNvPicPr>
      </xdr:nvPicPr>
      <xdr:blipFill>
        <a:blip r:embed="rId209"/>
        <a:stretch>
          <a:fillRect/>
        </a:stretch>
      </xdr:blipFill>
      <xdr:spPr>
        <a:xfrm>
          <a:off x="7906385" y="611062405"/>
          <a:ext cx="4238625" cy="4048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3C27F477F27146678C7281F7B9136567"/>
        <xdr:cNvPicPr>
          <a:picLocks noChangeAspect="1"/>
        </xdr:cNvPicPr>
      </xdr:nvPicPr>
      <xdr:blipFill>
        <a:blip r:embed="rId210"/>
        <a:stretch>
          <a:fillRect/>
        </a:stretch>
      </xdr:blipFill>
      <xdr:spPr>
        <a:xfrm>
          <a:off x="7906385" y="612853740"/>
          <a:ext cx="5153025" cy="4238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1" name="ID_7A9C79258F484047BC82F2BB19E041D3"/>
        <xdr:cNvPicPr>
          <a:picLocks noChangeAspect="1"/>
        </xdr:cNvPicPr>
      </xdr:nvPicPr>
      <xdr:blipFill>
        <a:blip r:embed="rId211"/>
        <a:stretch>
          <a:fillRect/>
        </a:stretch>
      </xdr:blipFill>
      <xdr:spPr>
        <a:xfrm>
          <a:off x="7906385" y="619029115"/>
          <a:ext cx="3333750" cy="6276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B60AC119B8FB4D759BDEB7E9187E19BD"/>
        <xdr:cNvPicPr>
          <a:picLocks noChangeAspect="1"/>
        </xdr:cNvPicPr>
      </xdr:nvPicPr>
      <xdr:blipFill>
        <a:blip r:embed="rId212"/>
        <a:stretch>
          <a:fillRect/>
        </a:stretch>
      </xdr:blipFill>
      <xdr:spPr>
        <a:xfrm>
          <a:off x="7906385" y="333524860"/>
          <a:ext cx="4276725" cy="3848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6" name="ID_899CC11935E642088F4222323695989D"/>
        <xdr:cNvPicPr>
          <a:picLocks noChangeAspect="1"/>
        </xdr:cNvPicPr>
      </xdr:nvPicPr>
      <xdr:blipFill>
        <a:blip r:embed="rId213"/>
        <a:stretch>
          <a:fillRect/>
        </a:stretch>
      </xdr:blipFill>
      <xdr:spPr>
        <a:xfrm>
          <a:off x="7906385" y="3923030"/>
          <a:ext cx="3295650" cy="4943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1" name="ID_832DBA5C7FD747049272FC1FC76320AD"/>
        <xdr:cNvPicPr>
          <a:picLocks noChangeAspect="1"/>
        </xdr:cNvPicPr>
      </xdr:nvPicPr>
      <xdr:blipFill>
        <a:blip r:embed="rId214"/>
        <a:stretch>
          <a:fillRect/>
        </a:stretch>
      </xdr:blipFill>
      <xdr:spPr>
        <a:xfrm>
          <a:off x="7906385" y="6336030"/>
          <a:ext cx="5133975" cy="5991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3" name="ID_48147609F64545FD8683DDE81B405B0B"/>
        <xdr:cNvPicPr>
          <a:picLocks noChangeAspect="1"/>
        </xdr:cNvPicPr>
      </xdr:nvPicPr>
      <xdr:blipFill>
        <a:blip r:embed="rId215"/>
        <a:stretch>
          <a:fillRect/>
        </a:stretch>
      </xdr:blipFill>
      <xdr:spPr>
        <a:xfrm>
          <a:off x="7935595" y="7677150"/>
          <a:ext cx="4048125" cy="4514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96516D1792F240EA937B4801250F8661"/>
        <xdr:cNvPicPr>
          <a:picLocks noChangeAspect="1"/>
        </xdr:cNvPicPr>
      </xdr:nvPicPr>
      <xdr:blipFill>
        <a:blip r:embed="rId216"/>
        <a:stretch>
          <a:fillRect/>
        </a:stretch>
      </xdr:blipFill>
      <xdr:spPr>
        <a:xfrm>
          <a:off x="6304915" y="85712935"/>
          <a:ext cx="3752850" cy="5762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7F2E820EE84445E6B0CE16B4203A3405"/>
        <xdr:cNvPicPr>
          <a:picLocks noChangeAspect="1"/>
        </xdr:cNvPicPr>
      </xdr:nvPicPr>
      <xdr:blipFill>
        <a:blip r:embed="rId217"/>
        <a:stretch>
          <a:fillRect/>
        </a:stretch>
      </xdr:blipFill>
      <xdr:spPr>
        <a:xfrm>
          <a:off x="6304915" y="86984840"/>
          <a:ext cx="3152775" cy="4000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7335E259DBE54A61BAC9826590D93DA5"/>
        <xdr:cNvPicPr>
          <a:picLocks noChangeAspect="1"/>
        </xdr:cNvPicPr>
      </xdr:nvPicPr>
      <xdr:blipFill>
        <a:blip r:embed="rId218"/>
        <a:stretch>
          <a:fillRect/>
        </a:stretch>
      </xdr:blipFill>
      <xdr:spPr>
        <a:xfrm>
          <a:off x="6054725" y="533400"/>
          <a:ext cx="913765" cy="861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A8B6904A526C4935A83F7FB21929C654"/>
        <xdr:cNvPicPr>
          <a:picLocks noChangeAspect="1"/>
        </xdr:cNvPicPr>
      </xdr:nvPicPr>
      <xdr:blipFill>
        <a:blip r:embed="rId219"/>
        <a:stretch>
          <a:fillRect/>
        </a:stretch>
      </xdr:blipFill>
      <xdr:spPr>
        <a:xfrm>
          <a:off x="6200140" y="1186180"/>
          <a:ext cx="485775" cy="861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1BE72FCBCAD44E6A881BC40810975655"/>
        <xdr:cNvPicPr>
          <a:picLocks noChangeAspect="1"/>
        </xdr:cNvPicPr>
      </xdr:nvPicPr>
      <xdr:blipFill>
        <a:blip r:embed="rId220"/>
        <a:stretch>
          <a:fillRect/>
        </a:stretch>
      </xdr:blipFill>
      <xdr:spPr>
        <a:xfrm>
          <a:off x="6120765" y="1861820"/>
          <a:ext cx="492760" cy="861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A59CDC0E39344E89B930390066087021"/>
        <xdr:cNvPicPr>
          <a:picLocks noChangeAspect="1"/>
        </xdr:cNvPicPr>
      </xdr:nvPicPr>
      <xdr:blipFill>
        <a:blip r:embed="rId221"/>
        <a:stretch>
          <a:fillRect/>
        </a:stretch>
      </xdr:blipFill>
      <xdr:spPr>
        <a:xfrm>
          <a:off x="5951220" y="2346960"/>
          <a:ext cx="817245" cy="8610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405C5AE781254493BAFA02AD06F56FCD"/>
        <xdr:cNvPicPr>
          <a:picLocks noChangeAspect="1"/>
        </xdr:cNvPicPr>
      </xdr:nvPicPr>
      <xdr:blipFill>
        <a:blip r:embed="rId222"/>
        <a:stretch>
          <a:fillRect/>
        </a:stretch>
      </xdr:blipFill>
      <xdr:spPr>
        <a:xfrm>
          <a:off x="5765800" y="66143505"/>
          <a:ext cx="2714625" cy="2857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F76FE3AA72C149609272857199182857"/>
        <xdr:cNvPicPr>
          <a:picLocks noChangeAspect="1"/>
        </xdr:cNvPicPr>
      </xdr:nvPicPr>
      <xdr:blipFill>
        <a:blip r:embed="rId223"/>
        <a:stretch>
          <a:fillRect/>
        </a:stretch>
      </xdr:blipFill>
      <xdr:spPr>
        <a:xfrm>
          <a:off x="5765800" y="67415410"/>
          <a:ext cx="5010150" cy="390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3F5AC78882C344D8B9DD313198B6A13C"/>
        <xdr:cNvPicPr>
          <a:picLocks noChangeAspect="1"/>
        </xdr:cNvPicPr>
      </xdr:nvPicPr>
      <xdr:blipFill>
        <a:blip r:embed="rId224"/>
        <a:stretch>
          <a:fillRect/>
        </a:stretch>
      </xdr:blipFill>
      <xdr:spPr>
        <a:xfrm>
          <a:off x="5765800" y="68687315"/>
          <a:ext cx="4514850" cy="6619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7" name="ID_9875EBB5D1EB42C9A6D919838B6C70F6"/>
        <xdr:cNvPicPr>
          <a:picLocks noChangeAspect="1"/>
        </xdr:cNvPicPr>
      </xdr:nvPicPr>
      <xdr:blipFill>
        <a:blip r:embed="rId225"/>
        <a:stretch>
          <a:fillRect/>
        </a:stretch>
      </xdr:blipFill>
      <xdr:spPr>
        <a:xfrm>
          <a:off x="5765800" y="69959220"/>
          <a:ext cx="3105150" cy="307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53D5EC8AD72748ABA5EAD9C27EBC8A56"/>
        <xdr:cNvPicPr>
          <a:picLocks noChangeAspect="1"/>
        </xdr:cNvPicPr>
      </xdr:nvPicPr>
      <xdr:blipFill>
        <a:blip r:embed="rId226"/>
        <a:stretch>
          <a:fillRect/>
        </a:stretch>
      </xdr:blipFill>
      <xdr:spPr>
        <a:xfrm>
          <a:off x="5765800" y="71231125"/>
          <a:ext cx="2619375" cy="324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557C6A3D92FD4FA8AF2FC2B80F9CADBA"/>
        <xdr:cNvPicPr>
          <a:picLocks noChangeAspect="1"/>
        </xdr:cNvPicPr>
      </xdr:nvPicPr>
      <xdr:blipFill>
        <a:blip r:embed="rId227"/>
        <a:stretch>
          <a:fillRect/>
        </a:stretch>
      </xdr:blipFill>
      <xdr:spPr>
        <a:xfrm>
          <a:off x="5765800" y="72503030"/>
          <a:ext cx="2762250" cy="3324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6EFD56BD8229437DBED987C2F75A7689"/>
        <xdr:cNvPicPr>
          <a:picLocks noChangeAspect="1"/>
        </xdr:cNvPicPr>
      </xdr:nvPicPr>
      <xdr:blipFill>
        <a:blip r:embed="rId228"/>
        <a:stretch>
          <a:fillRect/>
        </a:stretch>
      </xdr:blipFill>
      <xdr:spPr>
        <a:xfrm>
          <a:off x="5765800" y="73774935"/>
          <a:ext cx="2466975" cy="2562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A581ABB4D1A7431E8D8B733709D641A9"/>
        <xdr:cNvPicPr>
          <a:picLocks noChangeAspect="1"/>
        </xdr:cNvPicPr>
      </xdr:nvPicPr>
      <xdr:blipFill>
        <a:blip r:embed="rId229"/>
        <a:stretch>
          <a:fillRect/>
        </a:stretch>
      </xdr:blipFill>
      <xdr:spPr>
        <a:xfrm>
          <a:off x="5765800" y="75046840"/>
          <a:ext cx="2428875" cy="2847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6C0EBFC1499D4FC790D1B66A8DEA089D"/>
        <xdr:cNvPicPr>
          <a:picLocks noChangeAspect="1"/>
        </xdr:cNvPicPr>
      </xdr:nvPicPr>
      <xdr:blipFill>
        <a:blip r:embed="rId230"/>
        <a:stretch>
          <a:fillRect/>
        </a:stretch>
      </xdr:blipFill>
      <xdr:spPr>
        <a:xfrm>
          <a:off x="5765800" y="76318745"/>
          <a:ext cx="3581400" cy="3038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2279ADE4A8BC4EC1B737F27B0F73BD52"/>
        <xdr:cNvPicPr>
          <a:picLocks noChangeAspect="1"/>
        </xdr:cNvPicPr>
      </xdr:nvPicPr>
      <xdr:blipFill>
        <a:blip r:embed="rId231"/>
        <a:stretch>
          <a:fillRect/>
        </a:stretch>
      </xdr:blipFill>
      <xdr:spPr>
        <a:xfrm>
          <a:off x="7371715" y="197241160"/>
          <a:ext cx="5457825" cy="688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6" name="ID_75A4643782E04424B2D7755D3913E012"/>
        <xdr:cNvPicPr>
          <a:picLocks noChangeAspect="1"/>
        </xdr:cNvPicPr>
      </xdr:nvPicPr>
      <xdr:blipFill>
        <a:blip r:embed="rId232"/>
        <a:stretch>
          <a:fillRect/>
        </a:stretch>
      </xdr:blipFill>
      <xdr:spPr>
        <a:xfrm>
          <a:off x="8193405" y="50370105"/>
          <a:ext cx="4914900" cy="707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1343AD7A2349455EBA521685CD73FC33"/>
        <xdr:cNvPicPr>
          <a:picLocks noChangeAspect="1"/>
        </xdr:cNvPicPr>
      </xdr:nvPicPr>
      <xdr:blipFill>
        <a:blip r:embed="rId233"/>
        <a:stretch>
          <a:fillRect/>
        </a:stretch>
      </xdr:blipFill>
      <xdr:spPr>
        <a:xfrm>
          <a:off x="8202930" y="51304825"/>
          <a:ext cx="5572125" cy="837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2C3522CDE1C349969875A52451A71252"/>
        <xdr:cNvPicPr>
          <a:picLocks noChangeAspect="1"/>
        </xdr:cNvPicPr>
      </xdr:nvPicPr>
      <xdr:blipFill>
        <a:blip r:embed="rId234"/>
        <a:stretch>
          <a:fillRect/>
        </a:stretch>
      </xdr:blipFill>
      <xdr:spPr>
        <a:xfrm>
          <a:off x="7803515" y="52685950"/>
          <a:ext cx="3543300" cy="4343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92CDA5F74E434425A69E302B2AB57301"/>
        <xdr:cNvPicPr>
          <a:picLocks noChangeAspect="1"/>
        </xdr:cNvPicPr>
      </xdr:nvPicPr>
      <xdr:blipFill>
        <a:blip r:embed="rId235"/>
        <a:stretch>
          <a:fillRect/>
        </a:stretch>
      </xdr:blipFill>
      <xdr:spPr>
        <a:xfrm>
          <a:off x="8011795" y="256028825"/>
          <a:ext cx="3829050" cy="454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464EECB89E4C469CB9A62AB1E6758DCA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8256905" y="256065020"/>
          <a:ext cx="9086850" cy="1524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410E8AFFA7C949198AB152B2A56AC55E" descr="df9fe937-5069-4603-a097-59c7f642a2a6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10327640" y="6659245"/>
          <a:ext cx="7514590" cy="7784465"/>
        </a:xfrm>
        <a:prstGeom prst="rect">
          <a:avLst/>
        </a:prstGeom>
      </xdr:spPr>
    </xdr:pic>
  </etc:cellImage>
  <etc:cellImage>
    <xdr:pic>
      <xdr:nvPicPr>
        <xdr:cNvPr id="62" name="ID_E1F11E6198B142A4A5856F30618E91C0" descr="a8203120-0657-45c0-b1e1-c8161f648111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9692005" y="6010910"/>
          <a:ext cx="4742180" cy="6634480"/>
        </a:xfrm>
        <a:prstGeom prst="rect">
          <a:avLst/>
        </a:prstGeom>
      </xdr:spPr>
    </xdr:pic>
  </etc:cellImage>
  <etc:cellImage>
    <xdr:pic>
      <xdr:nvPicPr>
        <xdr:cNvPr id="64" name="ID_38E99D013E1241EB8A16A552905C2585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6485890" y="145458815"/>
          <a:ext cx="2800350" cy="377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DEDBE20A2F734878A8960ED3E10704C0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6485890" y="207960595"/>
          <a:ext cx="3286125" cy="3943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B63CC1A8587F4E44BBFEDF27466FF4BB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6485890" y="209167095"/>
          <a:ext cx="2809875" cy="4143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C77684FB9A8E48DEA64FCA812720DA97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6485890" y="210373595"/>
          <a:ext cx="2628900" cy="3028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3C391609751649EAAC7890DE7CF9DE7F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6485890" y="212786595"/>
          <a:ext cx="2600325" cy="3143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2" name="ID_3906324751C5424EA321CECC69CB2D04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6485890" y="211580095"/>
          <a:ext cx="4857750" cy="4667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FB6A9EC74A9F4295B375E668ABC95D91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6485890" y="260447155"/>
          <a:ext cx="2714625" cy="326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0A4E4398DB2D42A8BB1745491963BF6E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7697470" y="264507345"/>
          <a:ext cx="4629150" cy="488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5D4F0C7884DA4B26982105750CE14E2B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7745095" y="268362430"/>
          <a:ext cx="4391025" cy="3829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58925BC8A523423C85716E9C533D6C6A"/>
        <xdr:cNvPicPr>
          <a:picLocks noChangeAspect="1"/>
        </xdr:cNvPicPr>
      </xdr:nvPicPr>
      <xdr:blipFill>
        <a:blip r:embed="rId248"/>
        <a:stretch>
          <a:fillRect/>
        </a:stretch>
      </xdr:blipFill>
      <xdr:spPr>
        <a:xfrm>
          <a:off x="7849870" y="406887045"/>
          <a:ext cx="3457575" cy="4086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C73280D4F8F446078E7ABEBDE6BA119F"/>
        <xdr:cNvPicPr>
          <a:picLocks noChangeAspect="1"/>
        </xdr:cNvPicPr>
      </xdr:nvPicPr>
      <xdr:blipFill>
        <a:blip r:embed="rId249"/>
        <a:stretch>
          <a:fillRect/>
        </a:stretch>
      </xdr:blipFill>
      <xdr:spPr>
        <a:xfrm>
          <a:off x="7633970" y="192338325"/>
          <a:ext cx="3743325" cy="4371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B83019FDC37F4D669DF7FC2E3D7113DC"/>
        <xdr:cNvPicPr>
          <a:picLocks noChangeAspect="1"/>
        </xdr:cNvPicPr>
      </xdr:nvPicPr>
      <xdr:blipFill>
        <a:blip r:embed="rId250"/>
        <a:stretch>
          <a:fillRect/>
        </a:stretch>
      </xdr:blipFill>
      <xdr:spPr>
        <a:xfrm>
          <a:off x="7889240" y="52643405"/>
          <a:ext cx="4229100" cy="514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F0A5FE4818AB470880F5A9187D661C03"/>
        <xdr:cNvPicPr>
          <a:picLocks noChangeAspect="1"/>
        </xdr:cNvPicPr>
      </xdr:nvPicPr>
      <xdr:blipFill>
        <a:blip r:embed="rId251"/>
        <a:stretch>
          <a:fillRect/>
        </a:stretch>
      </xdr:blipFill>
      <xdr:spPr>
        <a:xfrm>
          <a:off x="7605395" y="411377130"/>
          <a:ext cx="3886200" cy="5486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1" name="ID_67486F3821E54EF38ADEDD643418FA76"/>
        <xdr:cNvPicPr>
          <a:picLocks noChangeAspect="1"/>
        </xdr:cNvPicPr>
      </xdr:nvPicPr>
      <xdr:blipFill>
        <a:blip r:embed="rId252"/>
        <a:stretch>
          <a:fillRect/>
        </a:stretch>
      </xdr:blipFill>
      <xdr:spPr>
        <a:xfrm>
          <a:off x="7746365" y="414095565"/>
          <a:ext cx="4286250" cy="4857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4" name="ID_32E99BE14E53489487272D7F8E019E6D"/>
        <xdr:cNvPicPr>
          <a:picLocks noChangeAspect="1"/>
        </xdr:cNvPicPr>
      </xdr:nvPicPr>
      <xdr:blipFill>
        <a:blip r:embed="rId253"/>
        <a:stretch>
          <a:fillRect/>
        </a:stretch>
      </xdr:blipFill>
      <xdr:spPr>
        <a:xfrm>
          <a:off x="8190865" y="413268795"/>
          <a:ext cx="3019425" cy="5286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F915FD5B4E2E448CADC1EB41EFBF17AA"/>
        <xdr:cNvPicPr>
          <a:picLocks noChangeAspect="1"/>
        </xdr:cNvPicPr>
      </xdr:nvPicPr>
      <xdr:blipFill>
        <a:blip r:embed="rId254"/>
        <a:stretch>
          <a:fillRect/>
        </a:stretch>
      </xdr:blipFill>
      <xdr:spPr>
        <a:xfrm>
          <a:off x="7872095" y="415917380"/>
          <a:ext cx="4000500" cy="4229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3B0D6290105349CCA0A1CE5CA92CF7C3"/>
        <xdr:cNvPicPr>
          <a:picLocks noChangeAspect="1"/>
        </xdr:cNvPicPr>
      </xdr:nvPicPr>
      <xdr:blipFill>
        <a:blip r:embed="rId255"/>
        <a:stretch>
          <a:fillRect/>
        </a:stretch>
      </xdr:blipFill>
      <xdr:spPr>
        <a:xfrm>
          <a:off x="7118350" y="388616190"/>
          <a:ext cx="3038475" cy="3057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841FC149F1134122913F3550FBBD467D"/>
        <xdr:cNvPicPr>
          <a:picLocks noChangeAspect="1"/>
        </xdr:cNvPicPr>
      </xdr:nvPicPr>
      <xdr:blipFill>
        <a:blip r:embed="rId256"/>
        <a:stretch>
          <a:fillRect/>
        </a:stretch>
      </xdr:blipFill>
      <xdr:spPr>
        <a:xfrm>
          <a:off x="7129145" y="390411335"/>
          <a:ext cx="3190875" cy="377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3" name="ID_005B65D94DCE491580C6A15BEB35D499"/>
        <xdr:cNvPicPr>
          <a:picLocks noChangeAspect="1"/>
        </xdr:cNvPicPr>
      </xdr:nvPicPr>
      <xdr:blipFill>
        <a:blip r:embed="rId257"/>
        <a:stretch>
          <a:fillRect/>
        </a:stretch>
      </xdr:blipFill>
      <xdr:spPr>
        <a:xfrm>
          <a:off x="7861300" y="391769600"/>
          <a:ext cx="2619375" cy="308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588FA675CF07455E9D276F0EF8DA57A5"/>
        <xdr:cNvPicPr>
          <a:picLocks noChangeAspect="1"/>
        </xdr:cNvPicPr>
      </xdr:nvPicPr>
      <xdr:blipFill>
        <a:blip r:embed="rId258"/>
        <a:stretch>
          <a:fillRect/>
        </a:stretch>
      </xdr:blipFill>
      <xdr:spPr>
        <a:xfrm>
          <a:off x="7729855" y="392529695"/>
          <a:ext cx="2857500" cy="3476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09F94EC4348E40939BC9516C0E4BF41B"/>
        <xdr:cNvPicPr>
          <a:picLocks noChangeAspect="1"/>
        </xdr:cNvPicPr>
      </xdr:nvPicPr>
      <xdr:blipFill>
        <a:blip r:embed="rId259"/>
        <a:stretch>
          <a:fillRect/>
        </a:stretch>
      </xdr:blipFill>
      <xdr:spPr>
        <a:xfrm>
          <a:off x="8045450" y="394291820"/>
          <a:ext cx="2371725" cy="328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8" name="ID_512CAB78B046402F8934C8B274FC0EF6"/>
        <xdr:cNvPicPr>
          <a:picLocks noChangeAspect="1"/>
        </xdr:cNvPicPr>
      </xdr:nvPicPr>
      <xdr:blipFill>
        <a:blip r:embed="rId260"/>
        <a:stretch>
          <a:fillRect/>
        </a:stretch>
      </xdr:blipFill>
      <xdr:spPr>
        <a:xfrm>
          <a:off x="7327265" y="395149705"/>
          <a:ext cx="1790700" cy="326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4" name="ID_1EB4648346864DCFB3F2A7CAA5EFB02A"/>
        <xdr:cNvPicPr>
          <a:picLocks noChangeAspect="1"/>
        </xdr:cNvPicPr>
      </xdr:nvPicPr>
      <xdr:blipFill>
        <a:blip r:embed="rId261"/>
        <a:stretch>
          <a:fillRect/>
        </a:stretch>
      </xdr:blipFill>
      <xdr:spPr>
        <a:xfrm>
          <a:off x="7762875" y="396465425"/>
          <a:ext cx="2476500" cy="333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5" name="ID_6C738296A9374DF084456AA91E828A64"/>
        <xdr:cNvPicPr>
          <a:picLocks noChangeAspect="1"/>
        </xdr:cNvPicPr>
      </xdr:nvPicPr>
      <xdr:blipFill>
        <a:blip r:embed="rId262"/>
        <a:stretch>
          <a:fillRect/>
        </a:stretch>
      </xdr:blipFill>
      <xdr:spPr>
        <a:xfrm>
          <a:off x="7828280" y="397868140"/>
          <a:ext cx="2628900" cy="3476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6" name="ID_97546A0637124CEE8FBBF415CD27FEB8"/>
        <xdr:cNvPicPr>
          <a:picLocks noChangeAspect="1"/>
        </xdr:cNvPicPr>
      </xdr:nvPicPr>
      <xdr:blipFill>
        <a:blip r:embed="rId263"/>
        <a:stretch>
          <a:fillRect/>
        </a:stretch>
      </xdr:blipFill>
      <xdr:spPr>
        <a:xfrm>
          <a:off x="7310120" y="407789380"/>
          <a:ext cx="2343150" cy="1752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" name="ID_B046FF5E675F4D2C93102644BE06F32F"/>
        <xdr:cNvPicPr>
          <a:picLocks noChangeAspect="1"/>
        </xdr:cNvPicPr>
      </xdr:nvPicPr>
      <xdr:blipFill>
        <a:blip r:embed="rId264"/>
        <a:stretch>
          <a:fillRect/>
        </a:stretch>
      </xdr:blipFill>
      <xdr:spPr>
        <a:xfrm>
          <a:off x="7251065" y="409180665"/>
          <a:ext cx="1485900" cy="1952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8" name="ID_4B5BCD2C981041069AC95BF6A4F4F1AB"/>
        <xdr:cNvPicPr>
          <a:picLocks noChangeAspect="1"/>
        </xdr:cNvPicPr>
      </xdr:nvPicPr>
      <xdr:blipFill>
        <a:blip r:embed="rId265"/>
        <a:stretch>
          <a:fillRect/>
        </a:stretch>
      </xdr:blipFill>
      <xdr:spPr>
        <a:xfrm>
          <a:off x="7161530" y="412299150"/>
          <a:ext cx="2762250" cy="3667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9" name="ID_A8664F14ED014D48BEADCBA54E5D7F74"/>
        <xdr:cNvPicPr>
          <a:picLocks noChangeAspect="1"/>
        </xdr:cNvPicPr>
      </xdr:nvPicPr>
      <xdr:blipFill>
        <a:blip r:embed="rId266"/>
        <a:stretch>
          <a:fillRect/>
        </a:stretch>
      </xdr:blipFill>
      <xdr:spPr>
        <a:xfrm>
          <a:off x="7085330" y="413461835"/>
          <a:ext cx="3048000" cy="371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3" name="ID_E6E9F98357C543F6B987976E5DC4540F"/>
        <xdr:cNvPicPr>
          <a:picLocks noChangeAspect="1"/>
        </xdr:cNvPicPr>
      </xdr:nvPicPr>
      <xdr:blipFill>
        <a:blip r:embed="rId267"/>
        <a:stretch>
          <a:fillRect/>
        </a:stretch>
      </xdr:blipFill>
      <xdr:spPr>
        <a:xfrm>
          <a:off x="7680325" y="313676665"/>
          <a:ext cx="3419475" cy="266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4" name="ID_C9A7F371841744EB8554E459C8430225"/>
        <xdr:cNvPicPr>
          <a:picLocks noChangeAspect="1"/>
        </xdr:cNvPicPr>
      </xdr:nvPicPr>
      <xdr:blipFill>
        <a:blip r:embed="rId268"/>
        <a:stretch>
          <a:fillRect/>
        </a:stretch>
      </xdr:blipFill>
      <xdr:spPr>
        <a:xfrm>
          <a:off x="7734300" y="314795535"/>
          <a:ext cx="3028950" cy="3771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5" name="ID_BC294B54E26D4967B71E67EF86E655EB"/>
        <xdr:cNvPicPr>
          <a:picLocks noChangeAspect="1"/>
        </xdr:cNvPicPr>
      </xdr:nvPicPr>
      <xdr:blipFill>
        <a:blip r:embed="rId269"/>
        <a:stretch>
          <a:fillRect/>
        </a:stretch>
      </xdr:blipFill>
      <xdr:spPr>
        <a:xfrm>
          <a:off x="7215505" y="315892815"/>
          <a:ext cx="2762250" cy="2895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2" name="ID_A106F211052B4A82BFCBF3E66A720F2E"/>
        <xdr:cNvPicPr>
          <a:picLocks noChangeAspect="1"/>
        </xdr:cNvPicPr>
      </xdr:nvPicPr>
      <xdr:blipFill>
        <a:blip r:embed="rId270"/>
        <a:stretch>
          <a:fillRect/>
        </a:stretch>
      </xdr:blipFill>
      <xdr:spPr>
        <a:xfrm>
          <a:off x="7570470" y="316827535"/>
          <a:ext cx="3095625" cy="3695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5" name="ID_3274A10503D5437098A32BA8A1E2D3FD"/>
        <xdr:cNvPicPr>
          <a:picLocks noChangeAspect="1"/>
        </xdr:cNvPicPr>
      </xdr:nvPicPr>
      <xdr:blipFill>
        <a:blip r:embed="rId271"/>
        <a:stretch>
          <a:fillRect/>
        </a:stretch>
      </xdr:blipFill>
      <xdr:spPr>
        <a:xfrm>
          <a:off x="7778115" y="318306450"/>
          <a:ext cx="1762125" cy="160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7" name="ID_1A21E3D20EE34E42B9283823EE553A58"/>
        <xdr:cNvPicPr>
          <a:picLocks noChangeAspect="1"/>
        </xdr:cNvPicPr>
      </xdr:nvPicPr>
      <xdr:blipFill>
        <a:blip r:embed="rId272"/>
        <a:stretch>
          <a:fillRect/>
        </a:stretch>
      </xdr:blipFill>
      <xdr:spPr>
        <a:xfrm>
          <a:off x="7557135" y="319806955"/>
          <a:ext cx="1228725" cy="1914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8" name="ID_C59EA8DEAE694F9C9B04F5F65F3FFC5C"/>
        <xdr:cNvPicPr>
          <a:picLocks noChangeAspect="1"/>
        </xdr:cNvPicPr>
      </xdr:nvPicPr>
      <xdr:blipFill>
        <a:blip r:embed="rId273"/>
        <a:stretch>
          <a:fillRect/>
        </a:stretch>
      </xdr:blipFill>
      <xdr:spPr>
        <a:xfrm>
          <a:off x="7829550" y="321437635"/>
          <a:ext cx="1905000" cy="165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4" name="ID_7A5D3BBB0E604CA7BE7197251BDC8F25"/>
        <xdr:cNvPicPr>
          <a:picLocks noChangeAspect="1"/>
        </xdr:cNvPicPr>
      </xdr:nvPicPr>
      <xdr:blipFill>
        <a:blip r:embed="rId274"/>
        <a:stretch>
          <a:fillRect/>
        </a:stretch>
      </xdr:blipFill>
      <xdr:spPr>
        <a:xfrm>
          <a:off x="7353300" y="322546345"/>
          <a:ext cx="1704975" cy="1485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9" name="ID_64379CEE02F844AD8417C46B0C0C1938"/>
        <xdr:cNvPicPr>
          <a:picLocks noChangeAspect="1"/>
        </xdr:cNvPicPr>
      </xdr:nvPicPr>
      <xdr:blipFill>
        <a:blip r:embed="rId275"/>
        <a:stretch>
          <a:fillRect/>
        </a:stretch>
      </xdr:blipFill>
      <xdr:spPr>
        <a:xfrm>
          <a:off x="7451725" y="323426455"/>
          <a:ext cx="1571625" cy="1200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4" name="ID_2A36F6F46F544ACC9AF9F0DA75265A60"/>
        <xdr:cNvPicPr>
          <a:picLocks noChangeAspect="1"/>
        </xdr:cNvPicPr>
      </xdr:nvPicPr>
      <xdr:blipFill>
        <a:blip r:embed="rId276"/>
        <a:stretch>
          <a:fillRect/>
        </a:stretch>
      </xdr:blipFill>
      <xdr:spPr>
        <a:xfrm>
          <a:off x="7577455" y="324752970"/>
          <a:ext cx="1295400" cy="1809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5" name="ID_D0D8B69E38EF43FFBE6A4B2BF21C17EB"/>
        <xdr:cNvPicPr>
          <a:picLocks noChangeAspect="1"/>
        </xdr:cNvPicPr>
      </xdr:nvPicPr>
      <xdr:blipFill>
        <a:blip r:embed="rId277"/>
        <a:stretch>
          <a:fillRect/>
        </a:stretch>
      </xdr:blipFill>
      <xdr:spPr>
        <a:xfrm>
          <a:off x="7508240" y="326057260"/>
          <a:ext cx="1666875" cy="1666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9" name="ID_67F0C4B90FF74D3EBC0EF858F3B18B6D"/>
        <xdr:cNvPicPr>
          <a:picLocks noChangeAspect="1"/>
        </xdr:cNvPicPr>
      </xdr:nvPicPr>
      <xdr:blipFill>
        <a:blip r:embed="rId278"/>
        <a:stretch>
          <a:fillRect/>
        </a:stretch>
      </xdr:blipFill>
      <xdr:spPr>
        <a:xfrm>
          <a:off x="7679690" y="315696600"/>
          <a:ext cx="990600" cy="1857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3" name="ID_C0C7E5313C2C4650B7716208E9522965"/>
        <xdr:cNvPicPr>
          <a:picLocks noChangeAspect="1"/>
        </xdr:cNvPicPr>
      </xdr:nvPicPr>
      <xdr:blipFill>
        <a:blip r:embed="rId279"/>
        <a:stretch>
          <a:fillRect/>
        </a:stretch>
      </xdr:blipFill>
      <xdr:spPr>
        <a:xfrm>
          <a:off x="7742555" y="316915165"/>
          <a:ext cx="1704975" cy="2371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5" name="ID_65987065DFF043AA817185B44E441083"/>
        <xdr:cNvPicPr>
          <a:picLocks noChangeAspect="1"/>
        </xdr:cNvPicPr>
      </xdr:nvPicPr>
      <xdr:blipFill>
        <a:blip r:embed="rId280"/>
        <a:stretch>
          <a:fillRect/>
        </a:stretch>
      </xdr:blipFill>
      <xdr:spPr>
        <a:xfrm>
          <a:off x="7761605" y="259912485"/>
          <a:ext cx="2600325" cy="333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8" name="ID_8C50BF743B16420A988C50BC69D583FE"/>
        <xdr:cNvPicPr>
          <a:picLocks noChangeAspect="1"/>
        </xdr:cNvPicPr>
      </xdr:nvPicPr>
      <xdr:blipFill>
        <a:blip r:embed="rId281"/>
        <a:stretch>
          <a:fillRect/>
        </a:stretch>
      </xdr:blipFill>
      <xdr:spPr>
        <a:xfrm>
          <a:off x="7867650" y="261055485"/>
          <a:ext cx="3124200" cy="381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CD4DCC2915034AFDB73544A44DE194F3"/>
        <xdr:cNvPicPr>
          <a:picLocks noChangeAspect="1"/>
        </xdr:cNvPicPr>
      </xdr:nvPicPr>
      <xdr:blipFill>
        <a:blip r:embed="rId282"/>
        <a:stretch>
          <a:fillRect/>
        </a:stretch>
      </xdr:blipFill>
      <xdr:spPr>
        <a:xfrm>
          <a:off x="8032115" y="205628240"/>
          <a:ext cx="870585" cy="1179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8" name="ID_8E238B5ED4C34F87825E5D2D33E56A25"/>
        <xdr:cNvPicPr>
          <a:picLocks noChangeAspect="1"/>
        </xdr:cNvPicPr>
      </xdr:nvPicPr>
      <xdr:blipFill>
        <a:blip r:embed="rId283"/>
        <a:stretch>
          <a:fillRect/>
        </a:stretch>
      </xdr:blipFill>
      <xdr:spPr>
        <a:xfrm>
          <a:off x="8069580" y="208288890"/>
          <a:ext cx="4229100" cy="4772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0" name="ID_EE42F53C8EEA49A48E444DF206B15295"/>
        <xdr:cNvPicPr>
          <a:picLocks noChangeAspect="1"/>
        </xdr:cNvPicPr>
      </xdr:nvPicPr>
      <xdr:blipFill>
        <a:blip r:embed="rId284"/>
        <a:stretch>
          <a:fillRect/>
        </a:stretch>
      </xdr:blipFill>
      <xdr:spPr>
        <a:xfrm>
          <a:off x="8250555" y="209423000"/>
          <a:ext cx="4286250" cy="5314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2" name="ID_F2C146DD3E554238AD77829198DCB0DE"/>
        <xdr:cNvPicPr>
          <a:picLocks noChangeAspect="1"/>
        </xdr:cNvPicPr>
      </xdr:nvPicPr>
      <xdr:blipFill>
        <a:blip r:embed="rId285"/>
        <a:stretch>
          <a:fillRect/>
        </a:stretch>
      </xdr:blipFill>
      <xdr:spPr>
        <a:xfrm>
          <a:off x="8060055" y="212008720"/>
          <a:ext cx="3629025" cy="457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3" name="ID_EE4BFA554D974E10B2AFA0DA9D530E0B"/>
        <xdr:cNvPicPr>
          <a:picLocks noChangeAspect="1"/>
        </xdr:cNvPicPr>
      </xdr:nvPicPr>
      <xdr:blipFill>
        <a:blip r:embed="rId286"/>
        <a:stretch>
          <a:fillRect/>
        </a:stretch>
      </xdr:blipFill>
      <xdr:spPr>
        <a:xfrm>
          <a:off x="8105775" y="210865085"/>
          <a:ext cx="4857750" cy="514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4" name="ID_D687E53B182B407182765D61F472E323"/>
        <xdr:cNvPicPr>
          <a:picLocks noChangeAspect="1"/>
        </xdr:cNvPicPr>
      </xdr:nvPicPr>
      <xdr:blipFill>
        <a:blip r:embed="rId287"/>
        <a:stretch>
          <a:fillRect/>
        </a:stretch>
      </xdr:blipFill>
      <xdr:spPr>
        <a:xfrm>
          <a:off x="7723505" y="267816965"/>
          <a:ext cx="5857875" cy="7000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5" name="ID_B7796124F2F74EEFA595297D4E71EF5E"/>
        <xdr:cNvPicPr>
          <a:picLocks noChangeAspect="1"/>
        </xdr:cNvPicPr>
      </xdr:nvPicPr>
      <xdr:blipFill>
        <a:blip r:embed="rId288"/>
        <a:stretch>
          <a:fillRect/>
        </a:stretch>
      </xdr:blipFill>
      <xdr:spPr>
        <a:xfrm>
          <a:off x="8060690" y="275712555"/>
          <a:ext cx="4600575" cy="5400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6" name="ID_6A1445DF26D242DC81C7376E1829AC0D" descr="41fcc1d1a285864b611fe57d87cd17c8"/>
        <xdr:cNvPicPr>
          <a:picLocks noChangeAspect="1"/>
        </xdr:cNvPicPr>
      </xdr:nvPicPr>
      <xdr:blipFill>
        <a:blip r:embed="rId289"/>
        <a:stretch>
          <a:fillRect/>
        </a:stretch>
      </xdr:blipFill>
      <xdr:spPr>
        <a:xfrm>
          <a:off x="8426450" y="72678290"/>
          <a:ext cx="7409815" cy="6565265"/>
        </a:xfrm>
        <a:prstGeom prst="rect">
          <a:avLst/>
        </a:prstGeom>
      </xdr:spPr>
    </xdr:pic>
  </etc:cellImage>
  <etc:cellImage>
    <xdr:pic>
      <xdr:nvPicPr>
        <xdr:cNvPr id="236" name="ID_8CF3FCC6A85C4B0BB7D48A968524CB6C"/>
        <xdr:cNvPicPr>
          <a:picLocks noChangeAspect="1"/>
        </xdr:cNvPicPr>
      </xdr:nvPicPr>
      <xdr:blipFill>
        <a:blip r:embed="rId290"/>
        <a:stretch>
          <a:fillRect/>
        </a:stretch>
      </xdr:blipFill>
      <xdr:spPr>
        <a:xfrm>
          <a:off x="8428990" y="190087885"/>
          <a:ext cx="2200275" cy="2114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7" name="ID_D15DDF187C7C4CC0AA36D46A6A61E20C"/>
        <xdr:cNvPicPr>
          <a:picLocks noChangeAspect="1"/>
        </xdr:cNvPicPr>
      </xdr:nvPicPr>
      <xdr:blipFill>
        <a:blip r:embed="rId291"/>
        <a:stretch>
          <a:fillRect/>
        </a:stretch>
      </xdr:blipFill>
      <xdr:spPr>
        <a:xfrm>
          <a:off x="8024495" y="434286660"/>
          <a:ext cx="2200275" cy="2247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8" name="ID_933CEE4D163E473D895B3536A1D5B810"/>
        <xdr:cNvPicPr>
          <a:picLocks noChangeAspect="1"/>
        </xdr:cNvPicPr>
      </xdr:nvPicPr>
      <xdr:blipFill>
        <a:blip r:embed="rId292"/>
        <a:stretch>
          <a:fillRect/>
        </a:stretch>
      </xdr:blipFill>
      <xdr:spPr>
        <a:xfrm>
          <a:off x="8629650" y="435712870"/>
          <a:ext cx="3686175" cy="6600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9" name="ID_9AE53F9078D74C9CBA95451C3833546F"/>
        <xdr:cNvPicPr>
          <a:picLocks noChangeAspect="1"/>
        </xdr:cNvPicPr>
      </xdr:nvPicPr>
      <xdr:blipFill>
        <a:blip r:embed="rId293"/>
        <a:stretch>
          <a:fillRect/>
        </a:stretch>
      </xdr:blipFill>
      <xdr:spPr>
        <a:xfrm>
          <a:off x="8287385" y="437057165"/>
          <a:ext cx="5286375" cy="542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0" name="ID_6FF30C4F834C446AB8D33035BFDC3A2A"/>
        <xdr:cNvPicPr>
          <a:picLocks noChangeAspect="1"/>
        </xdr:cNvPicPr>
      </xdr:nvPicPr>
      <xdr:blipFill>
        <a:blip r:embed="rId294"/>
        <a:stretch>
          <a:fillRect/>
        </a:stretch>
      </xdr:blipFill>
      <xdr:spPr>
        <a:xfrm>
          <a:off x="8475345" y="438429400"/>
          <a:ext cx="5172075" cy="6343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1" name="ID_F1B2C499AF9043909C92CD44B87DDA67"/>
        <xdr:cNvPicPr>
          <a:picLocks noChangeAspect="1"/>
        </xdr:cNvPicPr>
      </xdr:nvPicPr>
      <xdr:blipFill>
        <a:blip r:embed="rId295"/>
        <a:stretch>
          <a:fillRect/>
        </a:stretch>
      </xdr:blipFill>
      <xdr:spPr>
        <a:xfrm>
          <a:off x="7969885" y="439320305"/>
          <a:ext cx="5229225" cy="5543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2" name="ID_72C84382B1FD4A33B11D691EC114B022"/>
        <xdr:cNvPicPr>
          <a:picLocks noChangeAspect="1"/>
        </xdr:cNvPicPr>
      </xdr:nvPicPr>
      <xdr:blipFill>
        <a:blip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11835" y="4200525"/>
          <a:ext cx="203835" cy="685800"/>
        </a:xfrm>
        <a:prstGeom prst="rect">
          <a:avLst/>
        </a:prstGeom>
      </xdr:spPr>
    </xdr:pic>
  </etc:cellImage>
  <etc:cellImage>
    <xdr:pic>
      <xdr:nvPicPr>
        <xdr:cNvPr id="243" name="ID_AAD0630252E240AA9225171215BB89DD"/>
        <xdr:cNvPicPr>
          <a:picLocks noChangeAspect="1"/>
        </xdr:cNvPicPr>
      </xdr:nvPicPr>
      <xdr:blipFill>
        <a:blip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620" y="3444875"/>
          <a:ext cx="850900" cy="698500"/>
        </a:xfrm>
        <a:prstGeom prst="rect">
          <a:avLst/>
        </a:prstGeom>
      </xdr:spPr>
    </xdr:pic>
  </etc:cellImage>
  <etc:cellImage>
    <xdr:pic>
      <xdr:nvPicPr>
        <xdr:cNvPr id="245" name="ID_9AB0DF57BBB04CD3B684690A7CE475D5"/>
        <xdr:cNvPicPr>
          <a:picLocks noChangeAspect="1"/>
        </xdr:cNvPicPr>
      </xdr:nvPicPr>
      <xdr:blipFill>
        <a:blip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3695" y="4946650"/>
          <a:ext cx="920750" cy="676275"/>
        </a:xfrm>
        <a:prstGeom prst="rect">
          <a:avLst/>
        </a:prstGeom>
      </xdr:spPr>
    </xdr:pic>
  </etc:cellImage>
  <etc:cellImage>
    <xdr:pic>
      <xdr:nvPicPr>
        <xdr:cNvPr id="247" name="ID_C6BCBCF1759D4775A805EBA2E1413AEB"/>
        <xdr:cNvPicPr>
          <a:picLocks noChangeAspect="1"/>
        </xdr:cNvPicPr>
      </xdr:nvPicPr>
      <xdr:blipFill>
        <a:blip r:embed="rId299"/>
        <a:stretch>
          <a:fillRect/>
        </a:stretch>
      </xdr:blipFill>
      <xdr:spPr>
        <a:xfrm>
          <a:off x="7966710" y="338662010"/>
          <a:ext cx="3457575" cy="3343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8" name="ID_9F4849E78711468B827D55291742F88F"/>
        <xdr:cNvPicPr>
          <a:picLocks noChangeAspect="1"/>
        </xdr:cNvPicPr>
      </xdr:nvPicPr>
      <xdr:blipFill>
        <a:blip r:embed="rId300"/>
        <a:stretch>
          <a:fillRect/>
        </a:stretch>
      </xdr:blipFill>
      <xdr:spPr>
        <a:xfrm>
          <a:off x="8264525" y="208797525"/>
          <a:ext cx="3886200" cy="3600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FD448B5EED114654AB03B634147E98BD"/>
        <xdr:cNvPicPr>
          <a:picLocks noChangeAspect="1"/>
        </xdr:cNvPicPr>
      </xdr:nvPicPr>
      <xdr:blipFill>
        <a:blip r:embed="rId301"/>
        <a:stretch>
          <a:fillRect/>
        </a:stretch>
      </xdr:blipFill>
      <xdr:spPr>
        <a:xfrm>
          <a:off x="8583295" y="287321625"/>
          <a:ext cx="4200525" cy="5000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0" name="ID_573E342C7AF44E49A961561EECB660EB"/>
        <xdr:cNvPicPr>
          <a:picLocks noChangeAspect="1"/>
        </xdr:cNvPicPr>
      </xdr:nvPicPr>
      <xdr:blipFill>
        <a:blip r:embed="rId302"/>
        <a:stretch>
          <a:fillRect/>
        </a:stretch>
      </xdr:blipFill>
      <xdr:spPr>
        <a:xfrm>
          <a:off x="8519160" y="431351055"/>
          <a:ext cx="3086100" cy="5972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1" name="ID_A8D2074C9C0B4373AA458A0AF0780521"/>
        <xdr:cNvPicPr>
          <a:picLocks noChangeAspect="1"/>
        </xdr:cNvPicPr>
      </xdr:nvPicPr>
      <xdr:blipFill>
        <a:blip r:embed="rId303"/>
        <a:stretch>
          <a:fillRect/>
        </a:stretch>
      </xdr:blipFill>
      <xdr:spPr>
        <a:xfrm>
          <a:off x="8799830" y="432386740"/>
          <a:ext cx="3657600" cy="4619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EC41CD23155246F2B953E536CD6221EA"/>
        <xdr:cNvPicPr>
          <a:picLocks noChangeAspect="1"/>
        </xdr:cNvPicPr>
      </xdr:nvPicPr>
      <xdr:blipFill>
        <a:blip r:embed="rId304"/>
        <a:stretch>
          <a:fillRect/>
        </a:stretch>
      </xdr:blipFill>
      <xdr:spPr>
        <a:xfrm>
          <a:off x="8155940" y="126676150"/>
          <a:ext cx="5172075" cy="5857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3" name="ID_2E31A721DCE14154A2365D0432D0306A"/>
        <xdr:cNvPicPr>
          <a:picLocks noChangeAspect="1"/>
        </xdr:cNvPicPr>
      </xdr:nvPicPr>
      <xdr:blipFill>
        <a:blip r:embed="rId305"/>
        <a:stretch>
          <a:fillRect/>
        </a:stretch>
      </xdr:blipFill>
      <xdr:spPr>
        <a:xfrm>
          <a:off x="8526780" y="451059550"/>
          <a:ext cx="4810125" cy="6334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4" name="ID_DB360FEC64EA40CA9701C52FED9B8B6F"/>
        <xdr:cNvPicPr>
          <a:picLocks noChangeAspect="1"/>
        </xdr:cNvPicPr>
      </xdr:nvPicPr>
      <xdr:blipFill>
        <a:blip r:embed="rId306"/>
        <a:stretch>
          <a:fillRect/>
        </a:stretch>
      </xdr:blipFill>
      <xdr:spPr>
        <a:xfrm>
          <a:off x="7915275" y="434691790"/>
          <a:ext cx="11106150" cy="11115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5" name="ID_B62B0CA6C0074D9E98E922A48517800A"/>
        <xdr:cNvPicPr>
          <a:picLocks noChangeAspect="1"/>
        </xdr:cNvPicPr>
      </xdr:nvPicPr>
      <xdr:blipFill>
        <a:blip r:embed="rId307"/>
        <a:stretch>
          <a:fillRect/>
        </a:stretch>
      </xdr:blipFill>
      <xdr:spPr>
        <a:xfrm>
          <a:off x="8372475" y="95441770"/>
          <a:ext cx="10887075" cy="11001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6" name="ID_46F776591187441AB7F6A61CFAECC4AF"/>
        <xdr:cNvPicPr>
          <a:picLocks noChangeAspect="1"/>
        </xdr:cNvPicPr>
      </xdr:nvPicPr>
      <xdr:blipFill>
        <a:blip r:embed="rId308"/>
        <a:stretch>
          <a:fillRect/>
        </a:stretch>
      </xdr:blipFill>
      <xdr:spPr>
        <a:xfrm>
          <a:off x="8273415" y="72682100"/>
          <a:ext cx="3686175" cy="4314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7" name="ID_640DB6BD7788495F926B87385DBEC823"/>
        <xdr:cNvPicPr>
          <a:picLocks noChangeAspect="1"/>
        </xdr:cNvPicPr>
      </xdr:nvPicPr>
      <xdr:blipFill>
        <a:blip r:embed="rId309"/>
        <a:stretch>
          <a:fillRect/>
        </a:stretch>
      </xdr:blipFill>
      <xdr:spPr>
        <a:xfrm>
          <a:off x="8637270" y="288550985"/>
          <a:ext cx="4848225" cy="5772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8" name="ID_1098CA09867F4862997A6A310C4C269B"/>
        <xdr:cNvPicPr>
          <a:picLocks noChangeAspect="1"/>
        </xdr:cNvPicPr>
      </xdr:nvPicPr>
      <xdr:blipFill>
        <a:blip r:embed="rId310"/>
        <a:stretch>
          <a:fillRect/>
        </a:stretch>
      </xdr:blipFill>
      <xdr:spPr>
        <a:xfrm>
          <a:off x="8709660" y="287160970"/>
          <a:ext cx="3228975" cy="5600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9" name="ID_723EDF52F2A440D5849806E442250C6C"/>
        <xdr:cNvPicPr>
          <a:picLocks noChangeAspect="1"/>
        </xdr:cNvPicPr>
      </xdr:nvPicPr>
      <xdr:blipFill>
        <a:blip r:embed="rId311"/>
        <a:stretch>
          <a:fillRect/>
        </a:stretch>
      </xdr:blipFill>
      <xdr:spPr>
        <a:xfrm>
          <a:off x="8628380" y="441393580"/>
          <a:ext cx="4648200" cy="6143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6FE52709082C483F95DE0F9FB4B51688"/>
        <xdr:cNvPicPr>
          <a:picLocks noChangeAspect="1"/>
        </xdr:cNvPicPr>
      </xdr:nvPicPr>
      <xdr:blipFill>
        <a:blip r:embed="rId312"/>
        <a:stretch>
          <a:fillRect/>
        </a:stretch>
      </xdr:blipFill>
      <xdr:spPr>
        <a:xfrm>
          <a:off x="8782685" y="447761995"/>
          <a:ext cx="4533900" cy="4229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1" name="ID_F1F53FAFF8BF46F08F5B6C5D3E83AA18"/>
        <xdr:cNvPicPr>
          <a:picLocks noChangeAspect="1"/>
        </xdr:cNvPicPr>
      </xdr:nvPicPr>
      <xdr:blipFill>
        <a:blip r:embed="rId313"/>
        <a:stretch>
          <a:fillRect/>
        </a:stretch>
      </xdr:blipFill>
      <xdr:spPr>
        <a:xfrm>
          <a:off x="8618855" y="196350890"/>
          <a:ext cx="4057650" cy="4429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2" name="ID_43B7485A15D74D2A8D57BD9123E4DE36"/>
        <xdr:cNvPicPr>
          <a:picLocks noChangeAspect="1"/>
        </xdr:cNvPicPr>
      </xdr:nvPicPr>
      <xdr:blipFill>
        <a:blip r:embed="rId314"/>
        <a:stretch>
          <a:fillRect/>
        </a:stretch>
      </xdr:blipFill>
      <xdr:spPr>
        <a:xfrm>
          <a:off x="6707505" y="7664450"/>
          <a:ext cx="1457325" cy="2314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3" name="ID_CF7DBDD9B2734C49AD26908E684040F1"/>
        <xdr:cNvPicPr>
          <a:picLocks noChangeAspect="1"/>
        </xdr:cNvPicPr>
      </xdr:nvPicPr>
      <xdr:blipFill>
        <a:blip r:embed="rId315"/>
        <a:stretch>
          <a:fillRect/>
        </a:stretch>
      </xdr:blipFill>
      <xdr:spPr>
        <a:xfrm>
          <a:off x="6732905" y="8375650"/>
          <a:ext cx="4514850" cy="4371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4" name="ID_20F4C4D4C4F84658B06C43BF73419D05"/>
        <xdr:cNvPicPr>
          <a:picLocks noChangeAspect="1"/>
        </xdr:cNvPicPr>
      </xdr:nvPicPr>
      <xdr:blipFill>
        <a:blip r:embed="rId316"/>
        <a:stretch>
          <a:fillRect/>
        </a:stretch>
      </xdr:blipFill>
      <xdr:spPr>
        <a:xfrm>
          <a:off x="6898005" y="8782050"/>
          <a:ext cx="6143625" cy="5591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5" name="ID_D5DBD5FC86C748FEAA00E28DD4D01CC6"/>
        <xdr:cNvPicPr>
          <a:picLocks noChangeAspect="1"/>
        </xdr:cNvPicPr>
      </xdr:nvPicPr>
      <xdr:blipFill>
        <a:blip r:embed="rId317"/>
        <a:stretch>
          <a:fillRect/>
        </a:stretch>
      </xdr:blipFill>
      <xdr:spPr>
        <a:xfrm>
          <a:off x="6802755" y="13563600"/>
          <a:ext cx="4143375" cy="705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6" name="ID_78D4C06D0900447DB4264850309F1D9A"/>
        <xdr:cNvPicPr>
          <a:picLocks noChangeAspect="1"/>
        </xdr:cNvPicPr>
      </xdr:nvPicPr>
      <xdr:blipFill>
        <a:blip r:embed="rId318"/>
        <a:stretch>
          <a:fillRect/>
        </a:stretch>
      </xdr:blipFill>
      <xdr:spPr>
        <a:xfrm>
          <a:off x="6574155" y="20199350"/>
          <a:ext cx="3800475" cy="6457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7" name="ID_C40158F271CA434392E18631258DBEFF"/>
        <xdr:cNvPicPr>
          <a:picLocks noChangeAspect="1"/>
        </xdr:cNvPicPr>
      </xdr:nvPicPr>
      <xdr:blipFill>
        <a:blip r:embed="rId319"/>
        <a:stretch>
          <a:fillRect/>
        </a:stretch>
      </xdr:blipFill>
      <xdr:spPr>
        <a:xfrm>
          <a:off x="8011160" y="208857850"/>
          <a:ext cx="4143375" cy="5829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8" name="ID_C66D85CFCD3543CDA6A6B557EE2AE21E"/>
        <xdr:cNvPicPr>
          <a:picLocks noChangeAspect="1"/>
        </xdr:cNvPicPr>
      </xdr:nvPicPr>
      <xdr:blipFill>
        <a:blip r:embed="rId320"/>
        <a:stretch>
          <a:fillRect/>
        </a:stretch>
      </xdr:blipFill>
      <xdr:spPr>
        <a:xfrm>
          <a:off x="8882380" y="197846315"/>
          <a:ext cx="4514850" cy="457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6E81BB266FF34D00AF9DC8EDDA9AD81E"/>
        <xdr:cNvPicPr>
          <a:picLocks noChangeAspect="1"/>
        </xdr:cNvPicPr>
      </xdr:nvPicPr>
      <xdr:blipFill>
        <a:blip r:embed="rId321"/>
        <a:stretch>
          <a:fillRect/>
        </a:stretch>
      </xdr:blipFill>
      <xdr:spPr>
        <a:xfrm>
          <a:off x="6641465" y="72064245"/>
          <a:ext cx="1146175" cy="1335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6" name="ID_1BAB8C2708CC4A408C739E9A6F57B4A5"/>
        <xdr:cNvPicPr>
          <a:picLocks noChangeAspect="1"/>
        </xdr:cNvPicPr>
      </xdr:nvPicPr>
      <xdr:blipFill>
        <a:blip r:embed="rId322"/>
        <a:stretch>
          <a:fillRect/>
        </a:stretch>
      </xdr:blipFill>
      <xdr:spPr>
        <a:xfrm>
          <a:off x="6407150" y="70796785"/>
          <a:ext cx="1026160" cy="1172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03CFA41BA7F946A1AC8BE4F021AE3E68"/>
        <xdr:cNvPicPr>
          <a:picLocks noChangeAspect="1"/>
        </xdr:cNvPicPr>
      </xdr:nvPicPr>
      <xdr:blipFill>
        <a:blip r:embed="rId323"/>
        <a:stretch>
          <a:fillRect/>
        </a:stretch>
      </xdr:blipFill>
      <xdr:spPr>
        <a:xfrm>
          <a:off x="6286500" y="49680495"/>
          <a:ext cx="4086225" cy="390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A8DB497E85854E9E9DB5111E7EF76BD1"/>
        <xdr:cNvPicPr>
          <a:picLocks noChangeAspect="1"/>
        </xdr:cNvPicPr>
      </xdr:nvPicPr>
      <xdr:blipFill>
        <a:blip r:embed="rId324"/>
        <a:stretch>
          <a:fillRect/>
        </a:stretch>
      </xdr:blipFill>
      <xdr:spPr>
        <a:xfrm>
          <a:off x="6020435" y="81098390"/>
          <a:ext cx="4038600" cy="4086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25F07BB1D0E74D5398F4504B8BCD47D2"/>
        <xdr:cNvPicPr>
          <a:picLocks noChangeAspect="1"/>
        </xdr:cNvPicPr>
      </xdr:nvPicPr>
      <xdr:blipFill>
        <a:blip r:embed="rId325"/>
        <a:stretch>
          <a:fillRect/>
        </a:stretch>
      </xdr:blipFill>
      <xdr:spPr>
        <a:xfrm>
          <a:off x="6339205" y="82443320"/>
          <a:ext cx="3219450" cy="324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2E95FAB654AB4EDB8B2A32D5D5A233A9"/>
        <xdr:cNvPicPr>
          <a:picLocks noChangeAspect="1"/>
        </xdr:cNvPicPr>
      </xdr:nvPicPr>
      <xdr:blipFill>
        <a:blip r:embed="rId326"/>
        <a:stretch>
          <a:fillRect/>
        </a:stretch>
      </xdr:blipFill>
      <xdr:spPr>
        <a:xfrm>
          <a:off x="6256020" y="83857465"/>
          <a:ext cx="3533775" cy="357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0" name="ID_13C70E3A99684DCDAE597BDC52F002BD"/>
        <xdr:cNvPicPr>
          <a:picLocks noChangeAspect="1"/>
        </xdr:cNvPicPr>
      </xdr:nvPicPr>
      <xdr:blipFill>
        <a:blip r:embed="rId327"/>
        <a:stretch>
          <a:fillRect/>
        </a:stretch>
      </xdr:blipFill>
      <xdr:spPr>
        <a:xfrm>
          <a:off x="7919085" y="285756350"/>
          <a:ext cx="3419475" cy="3762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9" name="ID_08DD75A2AE3242D2A2726C840C6AA84F"/>
        <xdr:cNvPicPr>
          <a:picLocks noChangeAspect="1"/>
        </xdr:cNvPicPr>
      </xdr:nvPicPr>
      <xdr:blipFill>
        <a:blip r:embed="rId328"/>
        <a:stretch>
          <a:fillRect/>
        </a:stretch>
      </xdr:blipFill>
      <xdr:spPr>
        <a:xfrm>
          <a:off x="7669530" y="422785540"/>
          <a:ext cx="3619500" cy="361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" name="ID_2D7CE1A0E39C418FAFAB2750C201AA16"/>
        <xdr:cNvPicPr>
          <a:picLocks noChangeAspect="1"/>
        </xdr:cNvPicPr>
      </xdr:nvPicPr>
      <xdr:blipFill>
        <a:blip r:embed="rId329"/>
        <a:stretch>
          <a:fillRect/>
        </a:stretch>
      </xdr:blipFill>
      <xdr:spPr>
        <a:xfrm>
          <a:off x="7807960" y="423853610"/>
          <a:ext cx="4524375" cy="4486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1" name="ID_95513507B02F463CB591482CCD2EC411"/>
        <xdr:cNvPicPr>
          <a:picLocks noChangeAspect="1"/>
        </xdr:cNvPicPr>
      </xdr:nvPicPr>
      <xdr:blipFill>
        <a:blip r:embed="rId330"/>
        <a:stretch>
          <a:fillRect/>
        </a:stretch>
      </xdr:blipFill>
      <xdr:spPr>
        <a:xfrm>
          <a:off x="7877810" y="425268390"/>
          <a:ext cx="3676650" cy="3609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4" name="ID_0BB25637C3AC40519E2445B02723E726"/>
        <xdr:cNvPicPr>
          <a:picLocks noChangeAspect="1"/>
        </xdr:cNvPicPr>
      </xdr:nvPicPr>
      <xdr:blipFill>
        <a:blip r:embed="rId331"/>
        <a:stretch>
          <a:fillRect/>
        </a:stretch>
      </xdr:blipFill>
      <xdr:spPr>
        <a:xfrm>
          <a:off x="7766050" y="426391070"/>
          <a:ext cx="2314575" cy="2514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6" name="ID_902F8467C20240E88D208154E447AD9B"/>
        <xdr:cNvPicPr>
          <a:picLocks noChangeAspect="1"/>
        </xdr:cNvPicPr>
      </xdr:nvPicPr>
      <xdr:blipFill>
        <a:blip r:embed="rId332"/>
        <a:stretch>
          <a:fillRect/>
        </a:stretch>
      </xdr:blipFill>
      <xdr:spPr>
        <a:xfrm>
          <a:off x="7531100" y="427210220"/>
          <a:ext cx="4629150" cy="4238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9" name="ID_4CB2128B5B9A4A5FA53CE4D650FB822B"/>
        <xdr:cNvPicPr>
          <a:picLocks noChangeAspect="1"/>
        </xdr:cNvPicPr>
      </xdr:nvPicPr>
      <xdr:blipFill>
        <a:blip r:embed="rId333"/>
        <a:stretch>
          <a:fillRect/>
        </a:stretch>
      </xdr:blipFill>
      <xdr:spPr>
        <a:xfrm>
          <a:off x="7890510" y="475975045"/>
          <a:ext cx="3752850" cy="4476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2" name="ID_23018A2B70274959A24158EE15CBB106"/>
        <xdr:cNvPicPr>
          <a:picLocks noChangeAspect="1"/>
        </xdr:cNvPicPr>
      </xdr:nvPicPr>
      <xdr:blipFill>
        <a:blip r:embed="rId334"/>
        <a:stretch>
          <a:fillRect/>
        </a:stretch>
      </xdr:blipFill>
      <xdr:spPr>
        <a:xfrm>
          <a:off x="8260080" y="50689510"/>
          <a:ext cx="6515100" cy="6705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0" name="ID_750D3856361A40E3B08946EFB1E3CAA1"/>
        <xdr:cNvPicPr>
          <a:picLocks noChangeAspect="1"/>
        </xdr:cNvPicPr>
      </xdr:nvPicPr>
      <xdr:blipFill>
        <a:blip r:embed="rId335"/>
        <a:stretch>
          <a:fillRect/>
        </a:stretch>
      </xdr:blipFill>
      <xdr:spPr>
        <a:xfrm>
          <a:off x="8359140" y="478443290"/>
          <a:ext cx="5800725" cy="6915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1" name="ID_C11DDAF7DDF74D7187D968EFE58C827C"/>
        <xdr:cNvPicPr>
          <a:picLocks noChangeAspect="1"/>
        </xdr:cNvPicPr>
      </xdr:nvPicPr>
      <xdr:blipFill>
        <a:blip r:embed="rId336"/>
        <a:stretch>
          <a:fillRect/>
        </a:stretch>
      </xdr:blipFill>
      <xdr:spPr>
        <a:xfrm>
          <a:off x="8736330" y="207199865"/>
          <a:ext cx="4743450" cy="525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2" name="ID_222A2449F176469388513FC182C9F41A"/>
        <xdr:cNvPicPr>
          <a:picLocks noChangeAspect="1"/>
        </xdr:cNvPicPr>
      </xdr:nvPicPr>
      <xdr:blipFill>
        <a:blip r:embed="rId337"/>
        <a:stretch>
          <a:fillRect/>
        </a:stretch>
      </xdr:blipFill>
      <xdr:spPr>
        <a:xfrm>
          <a:off x="8591550" y="15221585"/>
          <a:ext cx="5229225" cy="488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3" name="ID_878A636CDBCA48B389AC5B8419B103F9"/>
        <xdr:cNvPicPr>
          <a:picLocks noChangeAspect="1"/>
        </xdr:cNvPicPr>
      </xdr:nvPicPr>
      <xdr:blipFill>
        <a:blip r:embed="rId338"/>
        <a:stretch>
          <a:fillRect/>
        </a:stretch>
      </xdr:blipFill>
      <xdr:spPr>
        <a:xfrm>
          <a:off x="8314055" y="39624000"/>
          <a:ext cx="4286250" cy="5314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5" name="ID_D2B92321CBCA4F8C85C1F9FA756AC119"/>
        <xdr:cNvPicPr>
          <a:picLocks noChangeAspect="1"/>
        </xdr:cNvPicPr>
      </xdr:nvPicPr>
      <xdr:blipFill>
        <a:blip r:embed="rId339"/>
        <a:stretch>
          <a:fillRect/>
        </a:stretch>
      </xdr:blipFill>
      <xdr:spPr>
        <a:xfrm>
          <a:off x="8331835" y="41619170"/>
          <a:ext cx="5715000" cy="694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6" name="ID_E947E114484D4141914BE79F7C32DB69"/>
        <xdr:cNvPicPr>
          <a:picLocks noChangeAspect="1"/>
        </xdr:cNvPicPr>
      </xdr:nvPicPr>
      <xdr:blipFill>
        <a:blip r:embed="rId340"/>
        <a:stretch>
          <a:fillRect/>
        </a:stretch>
      </xdr:blipFill>
      <xdr:spPr>
        <a:xfrm>
          <a:off x="8576310" y="40576500"/>
          <a:ext cx="4400550" cy="4457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7" name="ID_B9EC0C37C5964086B12A29F1DCDD045D"/>
        <xdr:cNvPicPr>
          <a:picLocks noChangeAspect="1"/>
        </xdr:cNvPicPr>
      </xdr:nvPicPr>
      <xdr:blipFill>
        <a:blip r:embed="rId341"/>
        <a:stretch>
          <a:fillRect/>
        </a:stretch>
      </xdr:blipFill>
      <xdr:spPr>
        <a:xfrm>
          <a:off x="8503920" y="39560500"/>
          <a:ext cx="4429125" cy="4800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093BDADC351F422785002A00C9CF75CB" descr="04 (1)"/>
        <xdr:cNvPicPr/>
      </xdr:nvPicPr>
      <xdr:blipFill>
        <a:blip r:embed="rId342"/>
        <a:stretch>
          <a:fillRect/>
        </a:stretch>
      </xdr:blipFill>
      <xdr:spPr>
        <a:xfrm>
          <a:off x="0" y="0"/>
          <a:ext cx="6350000" cy="6350000"/>
        </a:xfrm>
        <a:prstGeom prst="rect">
          <a:avLst/>
        </a:prstGeom>
      </xdr:spPr>
    </xdr:pic>
  </etc:cellImage>
  <etc:cellImage>
    <xdr:pic>
      <xdr:nvPicPr>
        <xdr:cNvPr id="54" name="ID_FC5E9EA2E568472CB712A450FAB47E77" descr="images"/>
        <xdr:cNvPicPr/>
      </xdr:nvPicPr>
      <xdr:blipFill>
        <a:blip r:embed="rId343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208" name="ID_DA411811D0214E46B089210BC891894B" descr="K-Beauty-Abib-Jericho-Rose-Bifida-Serum-Firming-Drop-mit-EAN-8809292443197_1000x"/>
        <xdr:cNvPicPr/>
      </xdr:nvPicPr>
      <xdr:blipFill>
        <a:blip r:embed="rId344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210" name="ID_17E31EDFFEC240F18B06B206D87CBBA7" descr="8809030733368-1-abib-mild-acidic-ph-sheet-mask-aqua-fit"/>
        <xdr:cNvPicPr/>
      </xdr:nvPicPr>
      <xdr:blipFill>
        <a:blip r:embed="rId345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11" name="ID_2730CC1509C0423792C164557414D91E" descr="anua-azelaic-10-hyaluron-redness-soothing-pad_8809640738227_DarBeauty"/>
        <xdr:cNvPicPr/>
      </xdr:nvPicPr>
      <xdr:blipFill>
        <a:blip r:embed="rId34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12" name="ID_2E5DE3538D94461F96F8C84527A367AB" descr="19e40d5b-0916-4178-b00e-35b9490e1cce-thumbnail-1000x1000-70"/>
        <xdr:cNvPicPr/>
      </xdr:nvPicPr>
      <xdr:blipFill>
        <a:blip r:embed="rId347"/>
        <a:stretch>
          <a:fillRect/>
        </a:stretch>
      </xdr:blipFill>
      <xdr:spPr>
        <a:xfrm>
          <a:off x="0" y="0"/>
          <a:ext cx="8572500" cy="8572500"/>
        </a:xfrm>
        <a:prstGeom prst="rect">
          <a:avLst/>
        </a:prstGeom>
      </xdr:spPr>
    </xdr:pic>
  </etc:cellImage>
  <etc:cellImage>
    <xdr:pic>
      <xdr:nvPicPr>
        <xdr:cNvPr id="213" name="ID_640381AECAD54CC4B7ADC5D0ABD1B4F6" descr="images (1)"/>
        <xdr:cNvPicPr/>
      </xdr:nvPicPr>
      <xdr:blipFill>
        <a:blip r:embed="rId348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216" name="ID_71BB6F75553442DCB7F6934D05D010E8" descr="anua-heartleaf-centella-red-spot-cream-30ml-8809640738197-skin-care-9003790"/>
        <xdr:cNvPicPr/>
      </xdr:nvPicPr>
      <xdr:blipFill>
        <a:blip r:embed="rId34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17" name="ID_4D3EB36C4E0147C6B9113DD85064ABB1" descr="61HPLwL7omL._SL1500"/>
        <xdr:cNvPicPr/>
      </xdr:nvPicPr>
      <xdr:blipFill>
        <a:blip r:embed="rId350"/>
        <a:stretch>
          <a:fillRect/>
        </a:stretch>
      </xdr:blipFill>
      <xdr:spPr>
        <a:xfrm>
          <a:off x="0" y="0"/>
          <a:ext cx="10057765" cy="10057765"/>
        </a:xfrm>
        <a:prstGeom prst="rect">
          <a:avLst/>
        </a:prstGeom>
      </xdr:spPr>
    </xdr:pic>
  </etc:cellImage>
  <etc:cellImage>
    <xdr:pic>
      <xdr:nvPicPr>
        <xdr:cNvPr id="218" name="ID_05ABFC29A1ED42718B9E4EBE91A2BFD0" descr="61dddoqlVjL"/>
        <xdr:cNvPicPr/>
      </xdr:nvPicPr>
      <xdr:blipFill>
        <a:blip r:embed="rId35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20" name="ID_B9EF333394874BB2837F03F0F08A399E" descr="arencia-hyssop-fume-anti-aging-moisturising-balm-30-g-ara513-1175079021"/>
        <xdr:cNvPicPr/>
      </xdr:nvPicPr>
      <xdr:blipFill>
        <a:blip r:embed="rId352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221" name="ID_C84B57F849B841C9A67327B74C06786B" descr="images (2)"/>
        <xdr:cNvPicPr/>
      </xdr:nvPicPr>
      <xdr:blipFill>
        <a:blip r:embed="rId353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222" name="ID_3877F4FB62BA4175BF694C7A2CFCEE20" descr="325BA597178EF4E5E653AA9A43E07D44_0938c400-7de0-439e-98fb-d04e5079e216_Diapositiva1"/>
        <xdr:cNvPicPr/>
      </xdr:nvPicPr>
      <xdr:blipFill>
        <a:blip r:embed="rId35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24" name="ID_CB05F414EF174C50885614B501B49DE5" descr="CollagenGelTonerPads_HeroImage_720x"/>
        <xdr:cNvPicPr/>
      </xdr:nvPicPr>
      <xdr:blipFill>
        <a:blip r:embed="rId355"/>
        <a:stretch>
          <a:fillRect/>
        </a:stretch>
      </xdr:blipFill>
      <xdr:spPr>
        <a:xfrm>
          <a:off x="0" y="0"/>
          <a:ext cx="6858000" cy="6858000"/>
        </a:xfrm>
        <a:prstGeom prst="rect">
          <a:avLst/>
        </a:prstGeom>
      </xdr:spPr>
    </xdr:pic>
  </etc:cellImage>
  <etc:cellImage>
    <xdr:pic>
      <xdr:nvPicPr>
        <xdr:cNvPr id="226" name="ID_7321680A71AF4100990507D3A1B588B9" descr="cera-nol-mask"/>
        <xdr:cNvPicPr/>
      </xdr:nvPicPr>
      <xdr:blipFill>
        <a:blip r:embed="rId356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227" name="ID_2092AD14AF3D41A19C92B3A0DE6FBF66" descr="8809937360483-gigapixel-standard-scale-2_00x"/>
        <xdr:cNvPicPr/>
      </xdr:nvPicPr>
      <xdr:blipFill>
        <a:blip r:embed="rId357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229" name="ID_85B3CA731DC143ECBC0DCE343A1CD63C" descr="pore-perfecting-collagen-peptide-cream-50ml"/>
        <xdr:cNvPicPr/>
      </xdr:nvPicPr>
      <xdr:blipFill>
        <a:blip r:embed="rId358"/>
        <a:stretch>
          <a:fillRect/>
        </a:stretch>
      </xdr:blipFill>
      <xdr:spPr>
        <a:xfrm>
          <a:off x="0" y="0"/>
          <a:ext cx="4305300" cy="4305300"/>
        </a:xfrm>
        <a:prstGeom prst="rect">
          <a:avLst/>
        </a:prstGeom>
      </xdr:spPr>
    </xdr:pic>
  </etc:cellImage>
  <etc:cellImage>
    <xdr:pic>
      <xdr:nvPicPr>
        <xdr:cNvPr id="231" name="ID_5071B1804E6E475791D1D6E27EBD1C91" descr="9666d79d-18bb-404b-8779-c3c03356f380"/>
        <xdr:cNvPicPr/>
      </xdr:nvPicPr>
      <xdr:blipFill>
        <a:blip r:embed="rId359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269" name="ID_7ABD32B3E12B40909C92E39F72EF01FA" descr="nfT8NJpCpqziAWGJZufspS"/>
        <xdr:cNvPicPr/>
      </xdr:nvPicPr>
      <xdr:blipFill>
        <a:blip r:embed="rId360"/>
        <a:stretch>
          <a:fillRect/>
        </a:stretch>
      </xdr:blipFill>
      <xdr:spPr>
        <a:xfrm>
          <a:off x="0" y="0"/>
          <a:ext cx="4095750" cy="4095750"/>
        </a:xfrm>
        <a:prstGeom prst="rect">
          <a:avLst/>
        </a:prstGeom>
      </xdr:spPr>
    </xdr:pic>
  </etc:cellImage>
  <etc:cellImage>
    <xdr:pic>
      <xdr:nvPicPr>
        <xdr:cNvPr id="270" name="ID_95737BCC6D734969965A1F66B7D23200" descr="images (3)"/>
        <xdr:cNvPicPr/>
      </xdr:nvPicPr>
      <xdr:blipFill>
        <a:blip r:embed="rId361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271" name="ID_55BDDF2B34DD46B1A240A02CC0AEA405" descr="437_8809626562921_20250727003504482"/>
        <xdr:cNvPicPr/>
      </xdr:nvPicPr>
      <xdr:blipFill>
        <a:blip r:embed="rId362"/>
        <a:stretch>
          <a:fillRect/>
        </a:stretch>
      </xdr:blipFill>
      <xdr:spPr>
        <a:xfrm>
          <a:off x="0" y="0"/>
          <a:ext cx="3810000" cy="3810000"/>
        </a:xfrm>
        <a:prstGeom prst="rect">
          <a:avLst/>
        </a:prstGeom>
      </xdr:spPr>
    </xdr:pic>
  </etc:cellImage>
  <etc:cellImage>
    <xdr:pic>
      <xdr:nvPicPr>
        <xdr:cNvPr id="272" name="ID_023B5ADB85A44AAF891C723265108305" descr="images (4)"/>
        <xdr:cNvPicPr/>
      </xdr:nvPicPr>
      <xdr:blipFill>
        <a:blip r:embed="rId363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273" name="ID_87B5C6A7531C48A094D94C96B341BCC1" descr="8809606850475"/>
        <xdr:cNvPicPr/>
      </xdr:nvPicPr>
      <xdr:blipFill>
        <a:blip r:embed="rId364"/>
        <a:stretch>
          <a:fillRect/>
        </a:stretch>
      </xdr:blipFill>
      <xdr:spPr>
        <a:xfrm>
          <a:off x="0" y="0"/>
          <a:ext cx="10058400" cy="9920605"/>
        </a:xfrm>
        <a:prstGeom prst="rect">
          <a:avLst/>
        </a:prstGeom>
      </xdr:spPr>
    </xdr:pic>
  </etc:cellImage>
  <etc:cellImage>
    <xdr:pic>
      <xdr:nvPicPr>
        <xdr:cNvPr id="275" name="ID_4556D5F18FF14570BEF3192F281006E4" descr="celimax-dual-barrier-mild-gel-cleanser-200ml-3-min"/>
        <xdr:cNvPicPr/>
      </xdr:nvPicPr>
      <xdr:blipFill>
        <a:blip r:embed="rId365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276" name="ID_2E6BF9FD48564FE1B687B33B66C50B78" descr="celimax-dual-barrier-purifying-cleansing-balm-refill-50ml"/>
        <xdr:cNvPicPr/>
      </xdr:nvPicPr>
      <xdr:blipFill>
        <a:blip r:embed="rId366"/>
        <a:stretch>
          <a:fillRect/>
        </a:stretch>
      </xdr:blipFill>
      <xdr:spPr>
        <a:xfrm>
          <a:off x="0" y="0"/>
          <a:ext cx="8415020" cy="10058400"/>
        </a:xfrm>
        <a:prstGeom prst="rect">
          <a:avLst/>
        </a:prstGeom>
      </xdr:spPr>
    </xdr:pic>
  </etc:cellImage>
  <etc:cellImage>
    <xdr:pic>
      <xdr:nvPicPr>
        <xdr:cNvPr id="277" name="ID_CB42186E88AC4297B0994D2A9F95EF79" descr="41Yyf4DM90L"/>
        <xdr:cNvPicPr/>
      </xdr:nvPicPr>
      <xdr:blipFill>
        <a:blip r:embed="rId367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78" name="ID_6F727E119CFF4FEA8FD84077E2AAF6A0" descr="437_8809626562921_20250727003504482"/>
        <xdr:cNvPicPr/>
      </xdr:nvPicPr>
      <xdr:blipFill>
        <a:blip r:embed="rId362"/>
        <a:stretch>
          <a:fillRect/>
        </a:stretch>
      </xdr:blipFill>
      <xdr:spPr>
        <a:xfrm>
          <a:off x="0" y="0"/>
          <a:ext cx="3810000" cy="3810000"/>
        </a:xfrm>
        <a:prstGeom prst="rect">
          <a:avLst/>
        </a:prstGeom>
      </xdr:spPr>
    </xdr:pic>
  </etc:cellImage>
  <etc:cellImage>
    <xdr:pic>
      <xdr:nvPicPr>
        <xdr:cNvPr id="279" name="ID_C08A4AE210E646678FC733467102BB21" descr="8809971484510"/>
        <xdr:cNvPicPr/>
      </xdr:nvPicPr>
      <xdr:blipFill>
        <a:blip r:embed="rId368"/>
        <a:stretch>
          <a:fillRect/>
        </a:stretch>
      </xdr:blipFill>
      <xdr:spPr>
        <a:xfrm>
          <a:off x="0" y="0"/>
          <a:ext cx="8026400" cy="9652000"/>
        </a:xfrm>
        <a:prstGeom prst="rect">
          <a:avLst/>
        </a:prstGeom>
      </xdr:spPr>
    </xdr:pic>
  </etc:cellImage>
  <etc:cellImage>
    <xdr:pic>
      <xdr:nvPicPr>
        <xdr:cNvPr id="280" name="ID_5961C42AA39E4D4C8F639A59A00A79ED" descr="celimaxPore_DarkSpotBrighteningCreamMask4sheets-1"/>
        <xdr:cNvPicPr/>
      </xdr:nvPicPr>
      <xdr:blipFill>
        <a:blip r:embed="rId36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81" name="ID_B42EAA7C54E0465BB98EEDF285CFDAA9" descr="8809875907795-2"/>
        <xdr:cNvPicPr/>
      </xdr:nvPicPr>
      <xdr:blipFill>
        <a:blip r:embed="rId370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82" name="ID_BDEC34221A6F4232B827B7CBB8690B8D" descr="8809606850666-1000x1000"/>
        <xdr:cNvPicPr/>
      </xdr:nvPicPr>
      <xdr:blipFill>
        <a:blip r:embed="rId371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283" name="ID_E4F0548D93E842B68D17B93383ED11E4" descr="8809576261301-SKIN1004-Madagascar-Centella-Air-Fit-Suncream-Plus-50ml"/>
        <xdr:cNvPicPr/>
      </xdr:nvPicPr>
      <xdr:blipFill>
        <a:blip r:embed="rId372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284" name="ID_C2A3A3B93C154CBDB255A5093BE210C5" descr="8809913832034-gigapixel-standard-scale-2_00x"/>
        <xdr:cNvPicPr/>
      </xdr:nvPicPr>
      <xdr:blipFill>
        <a:blip r:embed="rId373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285" name="ID_AFFD7FBD77AE4A889FDB2AA054E18729" descr="8809576260724.jpg"/>
        <xdr:cNvPicPr/>
      </xdr:nvPicPr>
      <xdr:blipFill>
        <a:blip r:embed="rId374"/>
        <a:stretch>
          <a:fillRect/>
        </a:stretch>
      </xdr:blipFill>
      <xdr:spPr>
        <a:xfrm>
          <a:off x="0" y="0"/>
          <a:ext cx="6524625" cy="9753600"/>
        </a:xfrm>
        <a:prstGeom prst="rect">
          <a:avLst/>
        </a:prstGeom>
      </xdr:spPr>
    </xdr:pic>
  </etc:cellImage>
  <etc:cellImage>
    <xdr:pic>
      <xdr:nvPicPr>
        <xdr:cNvPr id="286" name="ID_4F70A29A183B488CB85A170CDC766B67" descr="skin1004-madagascar-centella-probio-cica-nourishing-mask-22ml-8809913832003-1310586"/>
        <xdr:cNvPicPr/>
      </xdr:nvPicPr>
      <xdr:blipFill>
        <a:blip r:embed="rId375"/>
        <a:stretch>
          <a:fillRect/>
        </a:stretch>
      </xdr:blipFill>
      <xdr:spPr>
        <a:xfrm>
          <a:off x="0" y="0"/>
          <a:ext cx="10001250" cy="7143750"/>
        </a:xfrm>
        <a:prstGeom prst="rect">
          <a:avLst/>
        </a:prstGeom>
      </xdr:spPr>
    </xdr:pic>
  </etc:cellImage>
  <etc:cellImage>
    <xdr:pic>
      <xdr:nvPicPr>
        <xdr:cNvPr id="288" name="ID_9FFAD1DA2EE44286AA4DA00EB1F303E9" descr="skin1004-tea-trica-mascarilla-facial-relajante-1-89382"/>
        <xdr:cNvPicPr/>
      </xdr:nvPicPr>
      <xdr:blipFill>
        <a:blip r:embed="rId376"/>
        <a:stretch>
          <a:fillRect/>
        </a:stretch>
      </xdr:blipFill>
      <xdr:spPr>
        <a:xfrm>
          <a:off x="0" y="0"/>
          <a:ext cx="8908415" cy="10058400"/>
        </a:xfrm>
        <a:prstGeom prst="rect">
          <a:avLst/>
        </a:prstGeom>
      </xdr:spPr>
    </xdr:pic>
  </etc:cellImage>
  <etc:cellImage>
    <xdr:pic>
      <xdr:nvPicPr>
        <xdr:cNvPr id="293" name="ID_2533BF466F48489CAD1BAFF39761BD66" descr="skin1004-madagascar-centella-teca-cream-75ml"/>
        <xdr:cNvPicPr/>
      </xdr:nvPicPr>
      <xdr:blipFill>
        <a:blip r:embed="rId377"/>
        <a:stretch>
          <a:fillRect/>
        </a:stretch>
      </xdr:blipFill>
      <xdr:spPr>
        <a:xfrm>
          <a:off x="0" y="0"/>
          <a:ext cx="8572500" cy="8572500"/>
        </a:xfrm>
        <a:prstGeom prst="rect">
          <a:avLst/>
        </a:prstGeom>
      </xdr:spPr>
    </xdr:pic>
  </etc:cellImage>
  <etc:cellImage>
    <xdr:pic>
      <xdr:nvPicPr>
        <xdr:cNvPr id="301" name="ID_F5B37F20127D462A9C2317AD105442CD" descr="8fac9746-7a04-41a4-98db-b67b859c1abe-1000x1000-06SDjXRoNTGeEPmXWyvtCLM5ldOKPL2DCuOqOQBA"/>
        <xdr:cNvPicPr/>
      </xdr:nvPicPr>
      <xdr:blipFill>
        <a:blip r:embed="rId378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304" name="ID_0A06976117FD459EB13CCE49FA27E269" descr="8809447254609 (1)"/>
        <xdr:cNvPicPr/>
      </xdr:nvPicPr>
      <xdr:blipFill>
        <a:blip r:embed="rId37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07" name="ID_FCD652AA8CAE49069FB5D88EACD07230" descr="QVdTQWNjZXNzS2V5SWQ9dGlkX2ZjVUlzV0xQWVBXR05pc3lPbXRPRFVNbXFuUnpSZnVTQXpVQkxuRnllb1hKd1RlSlV0JlNpZ25hdHVyZT1TS0d0MVNwVzZncGxYJTJGNmw3YUxkTHFZNVptayUzRCZFeHBpcmVzPTE3NzIwMDUwNjc"/>
        <xdr:cNvPicPr/>
      </xdr:nvPicPr>
      <xdr:blipFill>
        <a:blip r:embed="rId380"/>
        <a:stretch>
          <a:fillRect/>
        </a:stretch>
      </xdr:blipFill>
      <xdr:spPr>
        <a:xfrm>
          <a:off x="0" y="0"/>
          <a:ext cx="7553325" cy="7620000"/>
        </a:xfrm>
        <a:prstGeom prst="rect">
          <a:avLst/>
        </a:prstGeom>
      </xdr:spPr>
    </xdr:pic>
  </etc:cellImage>
  <etc:cellImage>
    <xdr:pic>
      <xdr:nvPicPr>
        <xdr:cNvPr id="309" name="ID_A981AFA18C2745B28EF458881488982D" descr="dr-althea-crema-antiedad-rapid-firm-sculpting-1-87688"/>
        <xdr:cNvPicPr/>
      </xdr:nvPicPr>
      <xdr:blipFill>
        <a:blip r:embed="rId381"/>
        <a:stretch>
          <a:fillRect/>
        </a:stretch>
      </xdr:blipFill>
      <xdr:spPr>
        <a:xfrm>
          <a:off x="0" y="0"/>
          <a:ext cx="8908415" cy="10058400"/>
        </a:xfrm>
        <a:prstGeom prst="rect">
          <a:avLst/>
        </a:prstGeom>
      </xdr:spPr>
    </xdr:pic>
  </etc:cellImage>
  <etc:cellImage>
    <xdr:pic>
      <xdr:nvPicPr>
        <xdr:cNvPr id="311" name="ID_CB74031EBBA64A71817D4D3114FB1C7E" descr="8809447255804"/>
        <xdr:cNvPicPr/>
      </xdr:nvPicPr>
      <xdr:blipFill>
        <a:blip r:embed="rId382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314" name="ID_DBA80ADDE3F843B98FCDE7998A743C6F" descr="images (7)"/>
        <xdr:cNvPicPr/>
      </xdr:nvPicPr>
      <xdr:blipFill>
        <a:blip r:embed="rId383"/>
        <a:stretch>
          <a:fillRect/>
        </a:stretch>
      </xdr:blipFill>
      <xdr:spPr>
        <a:xfrm>
          <a:off x="0" y="0"/>
          <a:ext cx="5124450" cy="5429250"/>
        </a:xfrm>
        <a:prstGeom prst="rect">
          <a:avLst/>
        </a:prstGeom>
      </xdr:spPr>
    </xdr:pic>
  </etc:cellImage>
  <etc:cellImage>
    <xdr:pic>
      <xdr:nvPicPr>
        <xdr:cNvPr id="316" name="ID_0589B679E576484BA1208173705974E0" descr="8800289468674-MedicubeAge-RBoosterProX2-White"/>
        <xdr:cNvPicPr/>
      </xdr:nvPicPr>
      <xdr:blipFill>
        <a:blip r:embed="rId384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324" name="ID_DE9E48A3B0BC4983849EB1A787DBB4D2" descr="8800256115365-2_38614acc-16e4-40a1-b663-dfcade97f18b"/>
        <xdr:cNvPicPr/>
      </xdr:nvPicPr>
      <xdr:blipFill>
        <a:blip r:embed="rId385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27" name="ID_CB7E75FE1A994400B9646B6D2E734CAD" descr="8800256114665"/>
        <xdr:cNvPicPr/>
      </xdr:nvPicPr>
      <xdr:blipFill>
        <a:blip r:embed="rId386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331" name="ID_E2EEA0DA77104D45816B09E219D3FD6B" descr="8800289479083-gigapixel-standard-scale-2_00x"/>
        <xdr:cNvPicPr/>
      </xdr:nvPicPr>
      <xdr:blipFill>
        <a:blip r:embed="rId387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335" name="ID_EC00D06E93224ED1B9A78831D79FDB45" descr="3"/>
        <xdr:cNvPicPr/>
      </xdr:nvPicPr>
      <xdr:blipFill>
        <a:blip r:embed="rId388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337" name="ID_FE190E0E56024F638EE4962A879EC7E0" descr="8809982769941-2_28a3fe31-dc78-4576-a014-875ce99d0ead"/>
        <xdr:cNvPicPr/>
      </xdr:nvPicPr>
      <xdr:blipFill>
        <a:blip r:embed="rId38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39" name="ID_4139E23B64E649E4A91C14ABF37B4090" descr="k-beauty-medicube-deep-vita-c-pad-70-pads-mit-EAN-8800256109661_1000x"/>
        <xdr:cNvPicPr/>
      </xdr:nvPicPr>
      <xdr:blipFill>
        <a:blip r:embed="rId390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343" name="ID_D36795F34CB24115BEA1F7562F48C4B4" descr="New-Project-23"/>
        <xdr:cNvPicPr/>
      </xdr:nvPicPr>
      <xdr:blipFill>
        <a:blip r:embed="rId391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44" name="ID_BCFC144878BA480D93E7314BF8238547" descr="r3jd5k60j1cehvctzbdx8w2of2mb700k"/>
        <xdr:cNvPicPr/>
      </xdr:nvPicPr>
      <xdr:blipFill>
        <a:blip r:embed="rId392"/>
        <a:stretch>
          <a:fillRect/>
        </a:stretch>
      </xdr:blipFill>
      <xdr:spPr>
        <a:xfrm>
          <a:off x="0" y="0"/>
          <a:ext cx="7543800" cy="10058400"/>
        </a:xfrm>
        <a:prstGeom prst="rect">
          <a:avLst/>
        </a:prstGeom>
      </xdr:spPr>
    </xdr:pic>
  </etc:cellImage>
  <etc:cellImage>
    <xdr:pic>
      <xdr:nvPicPr>
        <xdr:cNvPr id="346" name="ID_CF425C750DB645D5A22619752F2EC22C" descr="3c976a73-4af5-4566-965f-4311fe51eca8"/>
        <xdr:cNvPicPr/>
      </xdr:nvPicPr>
      <xdr:blipFill>
        <a:blip r:embed="rId393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350" name="ID_F610A0DFECC14BEA8DEE192C5285A19A" descr="5721433521"/>
        <xdr:cNvPicPr/>
      </xdr:nvPicPr>
      <xdr:blipFill>
        <a:blip r:embed="rId394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351" name="ID_4F5EF80E7BE7489B8836202D8EEBBB03" descr="images (8)"/>
        <xdr:cNvPicPr/>
      </xdr:nvPicPr>
      <xdr:blipFill>
        <a:blip r:embed="rId395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352" name="ID_C8B113AE11BC4B29BD7C1786880D82FF" descr="MEDICUBEKojicAcidTurmericNiacinamideSerum30ml-1"/>
        <xdr:cNvPicPr/>
      </xdr:nvPicPr>
      <xdr:blipFill>
        <a:blip r:embed="rId396"/>
        <a:stretch>
          <a:fillRect/>
        </a:stretch>
      </xdr:blipFill>
      <xdr:spPr>
        <a:xfrm>
          <a:off x="0" y="0"/>
          <a:ext cx="10057765" cy="10057765"/>
        </a:xfrm>
        <a:prstGeom prst="rect">
          <a:avLst/>
        </a:prstGeom>
      </xdr:spPr>
    </xdr:pic>
  </etc:cellImage>
  <etc:cellImage>
    <xdr:pic>
      <xdr:nvPicPr>
        <xdr:cNvPr id="353" name="ID_FF59E64077EE4E918CE0E1198540DA08" descr="7163400c-6eaf-4357-a32a-ca0735c8e7b0"/>
        <xdr:cNvPicPr/>
      </xdr:nvPicPr>
      <xdr:blipFill>
        <a:blip r:embed="rId397"/>
        <a:stretch>
          <a:fillRect/>
        </a:stretch>
      </xdr:blipFill>
      <xdr:spPr>
        <a:xfrm>
          <a:off x="0" y="0"/>
          <a:ext cx="3048000" cy="3048000"/>
        </a:xfrm>
        <a:prstGeom prst="rect">
          <a:avLst/>
        </a:prstGeom>
      </xdr:spPr>
    </xdr:pic>
  </etc:cellImage>
  <etc:cellImage>
    <xdr:pic>
      <xdr:nvPicPr>
        <xdr:cNvPr id="354" name="ID_75B87A7142F44D46B24CD8215941967D" descr="medicubeKojicAcidTurmericVitaEyeGelSerum30ml-2"/>
        <xdr:cNvPicPr/>
      </xdr:nvPicPr>
      <xdr:blipFill>
        <a:blip r:embed="rId398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355" name="ID_FCE7544A371F4651A72E8B56B060C11C" descr="MEDICUBE-KojicAcidTurmericVitaJellyMistSerum100ML"/>
        <xdr:cNvPicPr/>
      </xdr:nvPicPr>
      <xdr:blipFill>
        <a:blip r:embed="rId39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56" name="ID_7E16094F5B7A45F289B1E32A72101C2F" descr="01_dfb29bdc-7ba9-4ee2-a3ec-47570fa7d2b7"/>
        <xdr:cNvPicPr/>
      </xdr:nvPicPr>
      <xdr:blipFill>
        <a:blip r:embed="rId400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57" name="ID_212A723BD6F74703A1BBC45F2D8BFA54" descr="one-day-exosome-shot-7500-30ml"/>
        <xdr:cNvPicPr/>
      </xdr:nvPicPr>
      <xdr:blipFill>
        <a:blip r:embed="rId401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358" name="ID_4726932478ED4253B712CF86175C3DD0" descr="Medicube_PDRNBoosterGel_Packshot"/>
        <xdr:cNvPicPr/>
      </xdr:nvPicPr>
      <xdr:blipFill>
        <a:blip r:embed="rId402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359" name="ID_BD4399FBC1BE44BD86A221834A46ABAB" descr="images (9)"/>
        <xdr:cNvPicPr/>
      </xdr:nvPicPr>
      <xdr:blipFill>
        <a:blip r:embed="rId403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360" name="ID_2D8F108FB83F46979C74EA16AC6F8AF8" descr="MEDICUBE-PDRN-Pink-Collagen-Gel-Mask-28g-8800256108046"/>
        <xdr:cNvPicPr/>
      </xdr:nvPicPr>
      <xdr:blipFill>
        <a:blip r:embed="rId40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61" name="ID_305F664B7DDE4ABEA4B032961A695A4B" descr="8800289470448"/>
        <xdr:cNvPicPr/>
      </xdr:nvPicPr>
      <xdr:blipFill>
        <a:blip r:embed="rId405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362" name="ID_B4427092D10E4D8EA5EE5C049A6CD8B8" descr="MEDICUBE-PDRN-Pink-Hyaluronic-Moisturizing-Cream-50ml-8800256113101"/>
        <xdr:cNvPicPr/>
      </xdr:nvPicPr>
      <xdr:blipFill>
        <a:blip r:embed="rId40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63" name="ID_C4F351F20FD74730BEB6FDD0EE27B4B7" descr="medicube-pdrn-pink-whip-cleanser_8800289473159_DarBeauty"/>
        <xdr:cNvPicPr/>
      </xdr:nvPicPr>
      <xdr:blipFill>
        <a:blip r:embed="rId407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65" name="ID_C0292CAF89CA4A408A83817480D5AA91" descr="8800256119042"/>
        <xdr:cNvPicPr/>
      </xdr:nvPicPr>
      <xdr:blipFill>
        <a:blip r:embed="rId408"/>
        <a:stretch>
          <a:fillRect/>
        </a:stretch>
      </xdr:blipFill>
      <xdr:spPr>
        <a:xfrm>
          <a:off x="0" y="0"/>
          <a:ext cx="6477000" cy="6477000"/>
        </a:xfrm>
        <a:prstGeom prst="rect">
          <a:avLst/>
        </a:prstGeom>
      </xdr:spPr>
    </xdr:pic>
  </etc:cellImage>
  <etc:cellImage>
    <xdr:pic>
      <xdr:nvPicPr>
        <xdr:cNvPr id="368" name="ID_945874F581C84A1EB3C6E676F4E7EE41" descr="615DOoCI6xL._AC_SL1500_"/>
        <xdr:cNvPicPr/>
      </xdr:nvPicPr>
      <xdr:blipFill>
        <a:blip r:embed="rId409"/>
        <a:stretch>
          <a:fillRect/>
        </a:stretch>
      </xdr:blipFill>
      <xdr:spPr>
        <a:xfrm>
          <a:off x="0" y="0"/>
          <a:ext cx="9246870" cy="10057765"/>
        </a:xfrm>
        <a:prstGeom prst="rect">
          <a:avLst/>
        </a:prstGeom>
      </xdr:spPr>
    </xdr:pic>
  </etc:cellImage>
  <etc:cellImage>
    <xdr:pic>
      <xdr:nvPicPr>
        <xdr:cNvPr id="370" name="ID_B2FFB9672D684911B5768E1A388E172A" descr="Medicube-PDRN-Pink-Peptide-Serum-Mask"/>
        <xdr:cNvPicPr/>
      </xdr:nvPicPr>
      <xdr:blipFill>
        <a:blip r:embed="rId410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373" name="ID_73A9CD3960DC452FA45769D633C57450" descr="8f750bef-26a1-4c8a-9a30-99a20d4d8c79-1000x972.92418772563-7qlcgdVdClW8rSl09i5T4FKO7dnp2eKn0DSDtSyS"/>
        <xdr:cNvPicPr/>
      </xdr:nvPicPr>
      <xdr:blipFill>
        <a:blip r:embed="rId411"/>
        <a:stretch>
          <a:fillRect/>
        </a:stretch>
      </xdr:blipFill>
      <xdr:spPr>
        <a:xfrm>
          <a:off x="0" y="0"/>
          <a:ext cx="9515475" cy="9258300"/>
        </a:xfrm>
        <a:prstGeom prst="rect">
          <a:avLst/>
        </a:prstGeom>
      </xdr:spPr>
    </xdr:pic>
  </etc:cellImage>
  <etc:cellImage>
    <xdr:pic>
      <xdr:nvPicPr>
        <xdr:cNvPr id="378" name="ID_F5046E7664B14E26A231A5A7865AFEDE" descr="8809517413936-1"/>
        <xdr:cNvPicPr/>
      </xdr:nvPicPr>
      <xdr:blipFill>
        <a:blip r:embed="rId412"/>
        <a:stretch>
          <a:fillRect/>
        </a:stretch>
      </xdr:blipFill>
      <xdr:spPr>
        <a:xfrm>
          <a:off x="0" y="0"/>
          <a:ext cx="9753600" cy="9753600"/>
        </a:xfrm>
        <a:prstGeom prst="rect">
          <a:avLst/>
        </a:prstGeom>
      </xdr:spPr>
    </xdr:pic>
  </etc:cellImage>
  <etc:cellImage>
    <xdr:pic>
      <xdr:nvPicPr>
        <xdr:cNvPr id="384" name="ID_DF3D01D395AC4E60B156BB6A64088FC9" descr="medicube-red-cream-100ml"/>
        <xdr:cNvPicPr/>
      </xdr:nvPicPr>
      <xdr:blipFill>
        <a:blip r:embed="rId413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386" name="ID_FCE8465483F34F1691EE614BD9293450" descr="10d_6d1b55b3-627b-478b-adb1-0039656ac49d"/>
        <xdr:cNvPicPr/>
      </xdr:nvPicPr>
      <xdr:blipFill>
        <a:blip r:embed="rId414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388" name="ID_57CFFD355D1449D29E56D22EA7943232" descr="red-toner-20"/>
        <xdr:cNvPicPr/>
      </xdr:nvPicPr>
      <xdr:blipFill>
        <a:blip r:embed="rId415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390" name="ID_121AFD51720B4A528CDF2966A5F29100" descr="images (10)"/>
        <xdr:cNvPicPr/>
      </xdr:nvPicPr>
      <xdr:blipFill>
        <a:blip r:embed="rId416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395" name="ID_85BAF55116EB44AFAA1B1072905D55A7" descr="f5ca08ad-4e39-431b-b96f-ec68038597bf-thumbnail-770x770-70"/>
        <xdr:cNvPicPr/>
      </xdr:nvPicPr>
      <xdr:blipFill>
        <a:blip r:embed="rId417"/>
        <a:stretch>
          <a:fillRect/>
        </a:stretch>
      </xdr:blipFill>
      <xdr:spPr>
        <a:xfrm>
          <a:off x="0" y="0"/>
          <a:ext cx="7334250" cy="7334250"/>
        </a:xfrm>
        <a:prstGeom prst="rect">
          <a:avLst/>
        </a:prstGeom>
      </xdr:spPr>
    </xdr:pic>
  </etc:cellImage>
  <etc:cellImage>
    <xdr:pic>
      <xdr:nvPicPr>
        <xdr:cNvPr id="398" name="ID_EBAF97BCAF23466E8A34D419E84A7398" descr="triple-collagen-toner-40-8800256114320-2458813_grande"/>
        <xdr:cNvPicPr/>
      </xdr:nvPicPr>
      <xdr:blipFill>
        <a:blip r:embed="rId418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400" name="ID_5CD69C3734A3435B92EB73E326C5D773" descr="0000_0_8a73ccc2-e2d1-41f8-b7a9-567b92444694_jpg"/>
        <xdr:cNvPicPr/>
      </xdr:nvPicPr>
      <xdr:blipFill>
        <a:blip r:embed="rId419"/>
        <a:stretch>
          <a:fillRect/>
        </a:stretch>
      </xdr:blipFill>
      <xdr:spPr>
        <a:xfrm>
          <a:off x="0" y="0"/>
          <a:ext cx="6667500" cy="6667500"/>
        </a:xfrm>
        <a:prstGeom prst="rect">
          <a:avLst/>
        </a:prstGeom>
      </xdr:spPr>
    </xdr:pic>
  </etc:cellImage>
  <etc:cellImage>
    <xdr:pic>
      <xdr:nvPicPr>
        <xdr:cNvPr id="401" name="ID_1CB683881A3B4BBA922A467D96EA9D10" descr="8800256119226"/>
        <xdr:cNvPicPr/>
      </xdr:nvPicPr>
      <xdr:blipFill>
        <a:blip r:embed="rId420"/>
        <a:stretch>
          <a:fillRect/>
        </a:stretch>
      </xdr:blipFill>
      <xdr:spPr>
        <a:xfrm>
          <a:off x="0" y="0"/>
          <a:ext cx="9753600" cy="9772650"/>
        </a:xfrm>
        <a:prstGeom prst="rect">
          <a:avLst/>
        </a:prstGeom>
      </xdr:spPr>
    </xdr:pic>
  </etc:cellImage>
  <etc:cellImage>
    <xdr:pic>
      <xdr:nvPicPr>
        <xdr:cNvPr id="403" name="ID_9FF246210F9F4A609E4F965C8B2DFA8C" descr="0011590_medicube-zero-pore-cooling-mask-27g-1ea"/>
        <xdr:cNvPicPr/>
      </xdr:nvPicPr>
      <xdr:blipFill>
        <a:blip r:embed="rId421"/>
        <a:stretch>
          <a:fillRect/>
        </a:stretch>
      </xdr:blipFill>
      <xdr:spPr>
        <a:xfrm>
          <a:off x="0" y="0"/>
          <a:ext cx="3857625" cy="3857625"/>
        </a:xfrm>
        <a:prstGeom prst="rect">
          <a:avLst/>
        </a:prstGeom>
      </xdr:spPr>
    </xdr:pic>
  </etc:cellImage>
  <etc:cellImage>
    <xdr:pic>
      <xdr:nvPicPr>
        <xdr:cNvPr id="408" name="ID_E93130E9D95F4BF9AA6B9E4631C4AAAF" descr="medicube-zero-pore-cream-2-0_8800240567330_DarBeauty"/>
        <xdr:cNvPicPr/>
      </xdr:nvPicPr>
      <xdr:blipFill>
        <a:blip r:embed="rId42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10" name="ID_A6631921AAD649B79A98AA9670B80C95" descr="images (11)"/>
        <xdr:cNvPicPr/>
      </xdr:nvPicPr>
      <xdr:blipFill>
        <a:blip r:embed="rId423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411" name="ID_45524E2643034EF9BEFFBAB921A49D57" descr="medicube-zero-pore-serum-20-37ml-8800256114283-3711295"/>
        <xdr:cNvPicPr/>
      </xdr:nvPicPr>
      <xdr:blipFill>
        <a:blip r:embed="rId42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13" name="ID_7565A20268CE4D97BB0374CB83EC23A4" descr="numbuzin-protector-solar-acuoso-spf50-pa-no-1-clear-filter-1-87379"/>
        <xdr:cNvPicPr/>
      </xdr:nvPicPr>
      <xdr:blipFill>
        <a:blip r:embed="rId425"/>
        <a:stretch>
          <a:fillRect/>
        </a:stretch>
      </xdr:blipFill>
      <xdr:spPr>
        <a:xfrm>
          <a:off x="0" y="0"/>
          <a:ext cx="8908415" cy="10058400"/>
        </a:xfrm>
        <a:prstGeom prst="rect">
          <a:avLst/>
        </a:prstGeom>
      </xdr:spPr>
    </xdr:pic>
  </etc:cellImage>
  <etc:cellImage>
    <xdr:pic>
      <xdr:nvPicPr>
        <xdr:cNvPr id="416" name="ID_F5BD2450A54D411DA433512DBFDDFA90" descr="images (12)"/>
        <xdr:cNvPicPr/>
      </xdr:nvPicPr>
      <xdr:blipFill>
        <a:blip r:embed="rId426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417" name="ID_498421C26F154C268C824D82626551A1" descr="8809652580272"/>
        <xdr:cNvPicPr/>
      </xdr:nvPicPr>
      <xdr:blipFill>
        <a:blip r:embed="rId427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418" name="ID_ECE5D2C5B303431BA2D40014AFBD74B9" descr="numbuzinno.5vitamin-niacinamideconcentratedpad_70pads"/>
        <xdr:cNvPicPr/>
      </xdr:nvPicPr>
      <xdr:blipFill>
        <a:blip r:embed="rId428"/>
        <a:stretch>
          <a:fillRect/>
        </a:stretch>
      </xdr:blipFill>
      <xdr:spPr>
        <a:xfrm>
          <a:off x="0" y="0"/>
          <a:ext cx="5334000" cy="5334000"/>
        </a:xfrm>
        <a:prstGeom prst="rect">
          <a:avLst/>
        </a:prstGeom>
      </xdr:spPr>
    </xdr:pic>
  </etc:cellImage>
  <etc:cellImage>
    <xdr:pic>
      <xdr:nvPicPr>
        <xdr:cNvPr id="422" name="ID_C800D293A5DB4B86BD8BDE29B8A8D3A5" descr="8ff8208cb07177f8ad14495489156ed21a8550c571d502ce249cba24165a95b9_t512"/>
        <xdr:cNvPicPr/>
      </xdr:nvPicPr>
      <xdr:blipFill>
        <a:blip r:embed="rId429"/>
        <a:stretch>
          <a:fillRect/>
        </a:stretch>
      </xdr:blipFill>
      <xdr:spPr>
        <a:xfrm>
          <a:off x="0" y="0"/>
          <a:ext cx="4876800" cy="4876800"/>
        </a:xfrm>
        <a:prstGeom prst="rect">
          <a:avLst/>
        </a:prstGeom>
      </xdr:spPr>
    </xdr:pic>
  </etc:cellImage>
  <etc:cellImage>
    <xdr:pic>
      <xdr:nvPicPr>
        <xdr:cNvPr id="423" name="ID_9AE384F78E744F829788AC7AF4DADFE5" descr="images (13)"/>
        <xdr:cNvPicPr/>
      </xdr:nvPicPr>
      <xdr:blipFill>
        <a:blip r:embed="rId430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429" name="ID_90A0F493C2484E509841F88B53F1D553" descr="purito-galacto-niacin-97-power-essence-60ml-1097"/>
        <xdr:cNvPicPr/>
      </xdr:nvPicPr>
      <xdr:blipFill>
        <a:blip r:embed="rId431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430" name="ID_E8EE90875DAE48CF8F494A5EEF7C9E63" descr="8809563103652"/>
        <xdr:cNvPicPr/>
      </xdr:nvPicPr>
      <xdr:blipFill>
        <a:blip r:embed="rId43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33" name="ID_174FF219A05D485E8A14BF7E236E29D8" descr="Korean-Skincare-Official_26503823-c626-49a6-a517-a9a844a0b153"/>
        <xdr:cNvPicPr/>
      </xdr:nvPicPr>
      <xdr:blipFill>
        <a:blip r:embed="rId433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435" name="ID_5834E69A71C248EB95E1C48BE37C0E26" descr="600x500_product_media_36001-37000_8809563100101-j"/>
        <xdr:cNvPicPr/>
      </xdr:nvPicPr>
      <xdr:blipFill>
        <a:blip r:embed="rId434"/>
        <a:stretch>
          <a:fillRect/>
        </a:stretch>
      </xdr:blipFill>
      <xdr:spPr>
        <a:xfrm>
          <a:off x="0" y="0"/>
          <a:ext cx="5715000" cy="4762500"/>
        </a:xfrm>
        <a:prstGeom prst="rect">
          <a:avLst/>
        </a:prstGeom>
      </xdr:spPr>
    </xdr:pic>
  </etc:cellImage>
  <etc:cellImage>
    <xdr:pic>
      <xdr:nvPicPr>
        <xdr:cNvPr id="436" name="ID_528043F3A45341EEA49B9F07F939E85D" descr="3_3274934a-3a9e-4483-a546-7c03a1984cb3"/>
        <xdr:cNvPicPr/>
      </xdr:nvPicPr>
      <xdr:blipFill>
        <a:blip r:embed="rId435"/>
        <a:stretch>
          <a:fillRect/>
        </a:stretch>
      </xdr:blipFill>
      <xdr:spPr>
        <a:xfrm>
          <a:off x="0" y="0"/>
          <a:ext cx="9753600" cy="9753600"/>
        </a:xfrm>
        <a:prstGeom prst="rect">
          <a:avLst/>
        </a:prstGeom>
      </xdr:spPr>
    </xdr:pic>
  </etc:cellImage>
  <etc:cellImage>
    <xdr:pic>
      <xdr:nvPicPr>
        <xdr:cNvPr id="437" name="ID_B244E34F88694CF086096EFA7B323EA7" descr="images (14)"/>
        <xdr:cNvPicPr/>
      </xdr:nvPicPr>
      <xdr:blipFill>
        <a:blip r:embed="rId436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438" name="ID_56706CC5C7914DF9BA7424652D964520" descr="51x-yD8+NYL._AC_SL1200_"/>
        <xdr:cNvPicPr/>
      </xdr:nvPicPr>
      <xdr:blipFill>
        <a:blip r:embed="rId437"/>
        <a:stretch>
          <a:fillRect/>
        </a:stretch>
      </xdr:blipFill>
      <xdr:spPr>
        <a:xfrm>
          <a:off x="0" y="0"/>
          <a:ext cx="2781300" cy="9763125"/>
        </a:xfrm>
        <a:prstGeom prst="rect">
          <a:avLst/>
        </a:prstGeom>
      </xdr:spPr>
    </xdr:pic>
  </etc:cellImage>
  <etc:cellImage>
    <xdr:pic>
      <xdr:nvPicPr>
        <xdr:cNvPr id="439" name="ID_848B802105D6437FA841A2399475625E" descr="3d7d3c07-171d-4e35-aee5-722dd9e1b649"/>
        <xdr:cNvPicPr/>
      </xdr:nvPicPr>
      <xdr:blipFill>
        <a:blip r:embed="rId438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41" name="ID_2DCFAF9BFF654757B8758D357E6DFF9D" descr="secret-key-starting-treatment-essence_8809305991295_DarBeauty"/>
        <xdr:cNvPicPr/>
      </xdr:nvPicPr>
      <xdr:blipFill>
        <a:blip r:embed="rId43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44" name="ID_E37EB94BE65245DCA8D128AB37139042" descr="b6c413cb-0214-4250-85ef-ab63e5bb8aaf"/>
        <xdr:cNvPicPr/>
      </xdr:nvPicPr>
      <xdr:blipFill>
        <a:blip r:embed="rId440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445" name="ID_89F302D770724658BE7CB32BC9918737" descr="9d8a4ea7-8d24-4b91-a00f-92a1a4e43881-thumbnail-770x770"/>
        <xdr:cNvPicPr/>
      </xdr:nvPicPr>
      <xdr:blipFill>
        <a:blip r:embed="rId441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446" name="ID_5F61873709CC487DBB24F17787E281F0" descr="9bc174bb7a425db9575db0f6bd29efb7"/>
        <xdr:cNvPicPr/>
      </xdr:nvPicPr>
      <xdr:blipFill>
        <a:blip r:embed="rId442"/>
        <a:stretch>
          <a:fillRect/>
        </a:stretch>
      </xdr:blipFill>
      <xdr:spPr>
        <a:xfrm>
          <a:off x="0" y="0"/>
          <a:ext cx="3048000" cy="3048000"/>
        </a:xfrm>
        <a:prstGeom prst="rect">
          <a:avLst/>
        </a:prstGeom>
      </xdr:spPr>
    </xdr:pic>
  </etc:cellImage>
  <etc:cellImage>
    <xdr:pic>
      <xdr:nvPicPr>
        <xdr:cNvPr id="447" name="ID_893EA3D6C1624F0F94F92FA449339D25" descr="6826bfb19dd666181bc23b5d"/>
        <xdr:cNvPicPr/>
      </xdr:nvPicPr>
      <xdr:blipFill>
        <a:blip r:embed="rId443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448" name="ID_B8FAC1FF5E37482E8FD52F84344A04BE" descr="51o89xQitRL"/>
        <xdr:cNvPicPr/>
      </xdr:nvPicPr>
      <xdr:blipFill>
        <a:blip r:embed="rId44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49" name="ID_C57BABA4B8384243A6C9BF35B6A5F0D7" descr="6826bfb19dd666181bc23b5d"/>
        <xdr:cNvPicPr/>
      </xdr:nvPicPr>
      <xdr:blipFill>
        <a:blip r:embed="rId443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450" name="ID_47FB3281BCE44305AE719C969438AA89" descr="SSSSSSSSSSSSS"/>
        <xdr:cNvPicPr/>
      </xdr:nvPicPr>
      <xdr:blipFill>
        <a:blip r:embed="rId445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451" name="ID_7555F2F5BD9547A5AC29D00B13642348" descr="DWDWDWDWDWDWDWDWDW"/>
        <xdr:cNvPicPr/>
      </xdr:nvPicPr>
      <xdr:blipFill>
        <a:blip r:embed="rId44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52" name="ID_3395C1FBE23C4229B4003655E32E512D" descr="waterism-glow-tint-13-likely"/>
        <xdr:cNvPicPr/>
      </xdr:nvPicPr>
      <xdr:blipFill>
        <a:blip r:embed="rId447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453" name="ID_925FAC4FA95647EAA114910C613A68F8" descr="DWDWDaT4"/>
        <xdr:cNvPicPr/>
      </xdr:nvPicPr>
      <xdr:blipFill>
        <a:blip r:embed="rId448"/>
        <a:stretch>
          <a:fillRect/>
        </a:stretch>
      </xdr:blipFill>
      <xdr:spPr>
        <a:xfrm>
          <a:off x="0" y="0"/>
          <a:ext cx="4610100" cy="6038850"/>
        </a:xfrm>
        <a:prstGeom prst="rect">
          <a:avLst/>
        </a:prstGeom>
      </xdr:spPr>
    </xdr:pic>
  </etc:cellImage>
  <etc:cellImage>
    <xdr:pic>
      <xdr:nvPicPr>
        <xdr:cNvPr id="454" name="ID_B2AAC0B9B5AE44D5BDD6BE2D79A9372D" descr="HYRTURT"/>
        <xdr:cNvPicPr/>
      </xdr:nvPicPr>
      <xdr:blipFill>
        <a:blip r:embed="rId449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55" name="ID_A39C030661084EA3AC9D072719D2112D" descr="KJUYJKUY"/>
        <xdr:cNvPicPr/>
      </xdr:nvPicPr>
      <xdr:blipFill>
        <a:blip r:embed="rId450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456" name="ID_F083786239E54D0B9B4992B73DDF01C7" descr="lkiuliu"/>
        <xdr:cNvPicPr/>
      </xdr:nvPicPr>
      <xdr:blipFill>
        <a:blip r:embed="rId451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457" name="ID_643083A76B1B40A09FDD213A16197B39" descr="uykuykuy"/>
        <xdr:cNvPicPr/>
      </xdr:nvPicPr>
      <xdr:blipFill>
        <a:blip r:embed="rId452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458" name="ID_7810828A370D4F759D4C1AD588290109" descr="jtyty"/>
        <xdr:cNvPicPr/>
      </xdr:nvPicPr>
      <xdr:blipFill>
        <a:blip r:embed="rId453"/>
        <a:stretch>
          <a:fillRect/>
        </a:stretch>
      </xdr:blipFill>
      <xdr:spPr>
        <a:xfrm>
          <a:off x="0" y="0"/>
          <a:ext cx="9525000" cy="9315450"/>
        </a:xfrm>
        <a:prstGeom prst="rect">
          <a:avLst/>
        </a:prstGeom>
      </xdr:spPr>
    </xdr:pic>
  </etc:cellImage>
  <etc:cellImage>
    <xdr:pic>
      <xdr:nvPicPr>
        <xdr:cNvPr id="459" name="ID_B31BA1476BB94846B7791B9D41D08D08" descr="vwev"/>
        <xdr:cNvPicPr/>
      </xdr:nvPicPr>
      <xdr:blipFill>
        <a:blip r:embed="rId454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460" name="ID_51D203C7025E4AB6B28611F5B65420CB" descr="jrtyjtyjtyjty"/>
        <xdr:cNvPicPr/>
      </xdr:nvPicPr>
      <xdr:blipFill>
        <a:blip r:embed="rId455"/>
        <a:stretch>
          <a:fillRect/>
        </a:stretch>
      </xdr:blipFill>
      <xdr:spPr>
        <a:xfrm>
          <a:off x="0" y="0"/>
          <a:ext cx="9232265" cy="9232265"/>
        </a:xfrm>
        <a:prstGeom prst="rect">
          <a:avLst/>
        </a:prstGeom>
      </xdr:spPr>
    </xdr:pic>
  </etc:cellImage>
  <etc:cellImage>
    <xdr:pic>
      <xdr:nvPicPr>
        <xdr:cNvPr id="461" name="ID_A3087AF5AFE541B7800EA3007C964A8D" descr="rthrthrt"/>
        <xdr:cNvPicPr/>
      </xdr:nvPicPr>
      <xdr:blipFill>
        <a:blip r:embed="rId456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62" name="ID_F7237697C0104A3AB4D14D20654C0579" descr="hhhrt"/>
        <xdr:cNvPicPr/>
      </xdr:nvPicPr>
      <xdr:blipFill>
        <a:blip r:embed="rId457"/>
        <a:stretch>
          <a:fillRect/>
        </a:stretch>
      </xdr:blipFill>
      <xdr:spPr>
        <a:xfrm>
          <a:off x="0" y="0"/>
          <a:ext cx="5076825" cy="5076825"/>
        </a:xfrm>
        <a:prstGeom prst="rect">
          <a:avLst/>
        </a:prstGeom>
      </xdr:spPr>
    </xdr:pic>
  </etc:cellImage>
  <etc:cellImage>
    <xdr:pic>
      <xdr:nvPicPr>
        <xdr:cNvPr id="463" name="ID_23BF4BE0BC654FB8912BDA0FCAE1908C" descr="hrthrthrth"/>
        <xdr:cNvPicPr/>
      </xdr:nvPicPr>
      <xdr:blipFill>
        <a:blip r:embed="rId458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464" name="ID_5D5C98F8D06D4F3498B204E23C6D34C0" descr="erhthrthrt"/>
        <xdr:cNvPicPr/>
      </xdr:nvPicPr>
      <xdr:blipFill>
        <a:blip r:embed="rId459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465" name="ID_2465441E28564570B9FE3A6BD69C230E" descr="wwwwwwwwwwwwwww"/>
        <xdr:cNvPicPr/>
      </xdr:nvPicPr>
      <xdr:blipFill>
        <a:blip r:embed="rId460"/>
        <a:stretch>
          <a:fillRect/>
        </a:stretch>
      </xdr:blipFill>
      <xdr:spPr>
        <a:xfrm>
          <a:off x="0" y="0"/>
          <a:ext cx="7545070" cy="10058400"/>
        </a:xfrm>
        <a:prstGeom prst="rect">
          <a:avLst/>
        </a:prstGeom>
      </xdr:spPr>
    </xdr:pic>
  </etc:cellImage>
  <etc:cellImage>
    <xdr:pic>
      <xdr:nvPicPr>
        <xdr:cNvPr id="466" name="ID_56771D301D2B41BABD770AE2AAF1D23E" descr="ERTHRTHRT"/>
        <xdr:cNvPicPr/>
      </xdr:nvPicPr>
      <xdr:blipFill>
        <a:blip r:embed="rId461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467" name="ID_7F2E7203EF414FB097FD18DDFE6B8F9E" descr="ERERERERERERERERERERERERERERER"/>
        <xdr:cNvPicPr/>
      </xdr:nvPicPr>
      <xdr:blipFill>
        <a:blip r:embed="rId462"/>
        <a:stretch>
          <a:fillRect/>
        </a:stretch>
      </xdr:blipFill>
      <xdr:spPr>
        <a:xfrm>
          <a:off x="0" y="0"/>
          <a:ext cx="5076825" cy="5076825"/>
        </a:xfrm>
        <a:prstGeom prst="rect">
          <a:avLst/>
        </a:prstGeom>
      </xdr:spPr>
    </xdr:pic>
  </etc:cellImage>
  <etc:cellImage>
    <xdr:pic>
      <xdr:nvPicPr>
        <xdr:cNvPr id="468" name="ID_BB72BB67C042480B8FFCAEF0DFCBCD7C" descr="GVERBVER"/>
        <xdr:cNvPicPr/>
      </xdr:nvPicPr>
      <xdr:blipFill>
        <a:blip r:embed="rId463"/>
        <a:stretch>
          <a:fillRect/>
        </a:stretch>
      </xdr:blipFill>
      <xdr:spPr>
        <a:xfrm>
          <a:off x="0" y="0"/>
          <a:ext cx="9525000" cy="8705850"/>
        </a:xfrm>
        <a:prstGeom prst="rect">
          <a:avLst/>
        </a:prstGeom>
      </xdr:spPr>
    </xdr:pic>
  </etc:cellImage>
  <etc:cellImage>
    <xdr:pic>
      <xdr:nvPicPr>
        <xdr:cNvPr id="469" name="ID_8E93E50904FE4A839C4378D7A46992F3" descr="232"/>
        <xdr:cNvPicPr/>
      </xdr:nvPicPr>
      <xdr:blipFill>
        <a:blip r:embed="rId464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70" name="ID_C070A581E6924FC581D75F1DF5D9345A" descr="323"/>
        <xdr:cNvPicPr/>
      </xdr:nvPicPr>
      <xdr:blipFill>
        <a:blip r:embed="rId465"/>
        <a:stretch>
          <a:fillRect/>
        </a:stretch>
      </xdr:blipFill>
      <xdr:spPr>
        <a:xfrm>
          <a:off x="0" y="0"/>
          <a:ext cx="9525000" cy="8705850"/>
        </a:xfrm>
        <a:prstGeom prst="rect">
          <a:avLst/>
        </a:prstGeom>
      </xdr:spPr>
    </xdr:pic>
  </etc:cellImage>
  <etc:cellImage>
    <xdr:pic>
      <xdr:nvPicPr>
        <xdr:cNvPr id="471" name="ID_DEA4DE06011441BDB6374EA1764F2EA8" descr="4333"/>
        <xdr:cNvPicPr/>
      </xdr:nvPicPr>
      <xdr:blipFill>
        <a:blip r:embed="rId466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72" name="ID_348CFC0B1B564BDC90B3671344ABCDDB" descr="326363"/>
        <xdr:cNvPicPr/>
      </xdr:nvPicPr>
      <xdr:blipFill>
        <a:blip r:embed="rId467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73" name="ID_665E053697194534B40BE03E70231A62" descr="4854989"/>
        <xdr:cNvPicPr/>
      </xdr:nvPicPr>
      <xdr:blipFill>
        <a:blip r:embed="rId468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474" name="ID_777F0FBC795E4225B0D216EAD36A90C3" descr="48498FE4W"/>
        <xdr:cNvPicPr/>
      </xdr:nvPicPr>
      <xdr:blipFill>
        <a:blip r:embed="rId469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475" name="ID_06031D61637C4C6996993807A3EC9BD0" descr="CEE"/>
        <xdr:cNvPicPr/>
      </xdr:nvPicPr>
      <xdr:blipFill>
        <a:blip r:embed="rId470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476" name="ID_B16D383B49134763AAEEC62D6FFE7A1A" descr="17818189"/>
        <xdr:cNvPicPr/>
      </xdr:nvPicPr>
      <xdr:blipFill>
        <a:blip r:embed="rId471"/>
        <a:stretch>
          <a:fillRect/>
        </a:stretch>
      </xdr:blipFill>
      <xdr:spPr>
        <a:xfrm>
          <a:off x="0" y="0"/>
          <a:ext cx="9525000" cy="8629650"/>
        </a:xfrm>
        <a:prstGeom prst="rect">
          <a:avLst/>
        </a:prstGeom>
      </xdr:spPr>
    </xdr:pic>
  </etc:cellImage>
  <etc:cellImage>
    <xdr:pic>
      <xdr:nvPicPr>
        <xdr:cNvPr id="477" name="ID_6DB9DCB47B6B4B97AE061129CFE8D7F6" descr="9859595"/>
        <xdr:cNvPicPr/>
      </xdr:nvPicPr>
      <xdr:blipFill>
        <a:blip r:embed="rId472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478" name="ID_452685146E934F4781CABFFD7DE41E3B" descr="59+5+55"/>
        <xdr:cNvPicPr/>
      </xdr:nvPicPr>
      <xdr:blipFill>
        <a:blip r:embed="rId473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480" name="ID_E8671FC89F984A0C81EE0F9B521C719C" descr="FEFEF"/>
        <xdr:cNvPicPr/>
      </xdr:nvPicPr>
      <xdr:blipFill>
        <a:blip r:embed="rId474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481" name="ID_4D198082E5DB40E580EC04902692A781" descr="156165165"/>
        <xdr:cNvPicPr/>
      </xdr:nvPicPr>
      <xdr:blipFill>
        <a:blip r:embed="rId475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482" name="ID_33C7AAED33C3493490F6EA83E1123A07" descr="15151"/>
        <xdr:cNvPicPr/>
      </xdr:nvPicPr>
      <xdr:blipFill>
        <a:blip r:embed="rId476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483" name="ID_8AA00B31A96A4A1D80B27096D586F9D2" descr="95959595"/>
        <xdr:cNvPicPr/>
      </xdr:nvPicPr>
      <xdr:blipFill>
        <a:blip r:embed="rId477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484" name="ID_AC735189D66749B4B3D737BE628564FF" descr="5959"/>
        <xdr:cNvPicPr/>
      </xdr:nvPicPr>
      <xdr:blipFill>
        <a:blip r:embed="rId478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485" name="ID_8ECEC7191C4B4AF78489CDF5B23134E6" descr="959595"/>
        <xdr:cNvPicPr/>
      </xdr:nvPicPr>
      <xdr:blipFill>
        <a:blip r:embed="rId479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486" name="ID_F06611155776449AB68134960D25FE1E" descr="59595"/>
        <xdr:cNvPicPr/>
      </xdr:nvPicPr>
      <xdr:blipFill>
        <a:blip r:embed="rId480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487" name="ID_E6785769FEE8465293248147AA8AA9BC" descr="63894184"/>
        <xdr:cNvPicPr/>
      </xdr:nvPicPr>
      <xdr:blipFill>
        <a:blip r:embed="rId481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88" name="ID_44162B303C5F40D6AF01D105AC8D63D2" descr="63894184"/>
        <xdr:cNvPicPr/>
      </xdr:nvPicPr>
      <xdr:blipFill>
        <a:blip r:embed="rId481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89" name="ID_35F76B35A3B54C719D8C00B708DC4B41" descr="FCVEF"/>
        <xdr:cNvPicPr/>
      </xdr:nvPicPr>
      <xdr:blipFill>
        <a:blip r:embed="rId482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90" name="ID_1F1012B9AC164A3F812A38ACAD1A8486" descr="8484884"/>
        <xdr:cNvPicPr/>
      </xdr:nvPicPr>
      <xdr:blipFill>
        <a:blip r:embed="rId483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491" name="ID_C62AC41978FB4B489946EBC63E59ABA1" descr="DQWDWQ4"/>
        <xdr:cNvPicPr/>
      </xdr:nvPicPr>
      <xdr:blipFill>
        <a:blip r:embed="rId484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92" name="ID_4F03299A64CA4E5586176DAE7A278B11" descr="8541515D1W"/>
        <xdr:cNvPicPr/>
      </xdr:nvPicPr>
      <xdr:blipFill>
        <a:blip r:embed="rId485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93" name="ID_0F76F57DD19548DA99C6532531E3A2DE" descr="FWEFEWFE"/>
        <xdr:cNvPicPr/>
      </xdr:nvPicPr>
      <xdr:blipFill>
        <a:blip r:embed="rId486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94" name="ID_E8E8E06D2AE04060913CCE79BD941E7B" descr="95955"/>
        <xdr:cNvPicPr/>
      </xdr:nvPicPr>
      <xdr:blipFill>
        <a:blip r:embed="rId487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495" name="ID_F28A13934B644E64933A1D46696D8777" descr="FEWFEWFEWFEW"/>
        <xdr:cNvPicPr/>
      </xdr:nvPicPr>
      <xdr:blipFill>
        <a:blip r:embed="rId488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496" name="ID_8F0F8880A2784D859731A300F71C2289" descr="FEWFWEVEV"/>
        <xdr:cNvPicPr/>
      </xdr:nvPicPr>
      <xdr:blipFill>
        <a:blip r:embed="rId489"/>
        <a:stretch>
          <a:fillRect/>
        </a:stretch>
      </xdr:blipFill>
      <xdr:spPr>
        <a:xfrm>
          <a:off x="0" y="0"/>
          <a:ext cx="4000500" cy="4533900"/>
        </a:xfrm>
        <a:prstGeom prst="rect">
          <a:avLst/>
        </a:prstGeom>
      </xdr:spPr>
    </xdr:pic>
  </etc:cellImage>
  <etc:cellImage>
    <xdr:pic>
      <xdr:nvPicPr>
        <xdr:cNvPr id="497" name="ID_64E6E9B9A1F7437A8C2117175872F240" descr="FEFWE"/>
        <xdr:cNvPicPr/>
      </xdr:nvPicPr>
      <xdr:blipFill>
        <a:blip r:embed="rId490"/>
        <a:stretch>
          <a:fillRect/>
        </a:stretch>
      </xdr:blipFill>
      <xdr:spPr>
        <a:xfrm>
          <a:off x="0" y="0"/>
          <a:ext cx="10057765" cy="10057765"/>
        </a:xfrm>
        <a:prstGeom prst="rect">
          <a:avLst/>
        </a:prstGeom>
      </xdr:spPr>
    </xdr:pic>
  </etc:cellImage>
  <etc:cellImage>
    <xdr:pic>
      <xdr:nvPicPr>
        <xdr:cNvPr id="498" name="ID_198A17309D5B40C98F5B1861C4AFE242" descr="WDWDWGE"/>
        <xdr:cNvPicPr/>
      </xdr:nvPicPr>
      <xdr:blipFill>
        <a:blip r:embed="rId491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499" name="ID_44A1211461F7438EB93B09C720548E5F" descr="1111"/>
        <xdr:cNvPicPr/>
      </xdr:nvPicPr>
      <xdr:blipFill>
        <a:blip r:embed="rId492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00" name="ID_A852180EBAAE4FDAAAA69400F48EB927" descr="559"/>
        <xdr:cNvPicPr/>
      </xdr:nvPicPr>
      <xdr:blipFill>
        <a:blip r:embed="rId493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01" name="ID_DE9818D253334E89B821FE0A680403FD" descr="8448484"/>
        <xdr:cNvPicPr/>
      </xdr:nvPicPr>
      <xdr:blipFill>
        <a:blip r:embed="rId494"/>
        <a:stretch>
          <a:fillRect/>
        </a:stretch>
      </xdr:blipFill>
      <xdr:spPr>
        <a:xfrm>
          <a:off x="0" y="0"/>
          <a:ext cx="1885950" cy="2419350"/>
        </a:xfrm>
        <a:prstGeom prst="rect">
          <a:avLst/>
        </a:prstGeom>
      </xdr:spPr>
    </xdr:pic>
  </etc:cellImage>
  <etc:cellImage>
    <xdr:pic>
      <xdr:nvPicPr>
        <xdr:cNvPr id="502" name="ID_D58BCAD2C0B04F3A98D1270D1078BE36" descr="8585"/>
        <xdr:cNvPicPr/>
      </xdr:nvPicPr>
      <xdr:blipFill>
        <a:blip r:embed="rId495"/>
        <a:stretch>
          <a:fillRect/>
        </a:stretch>
      </xdr:blipFill>
      <xdr:spPr>
        <a:xfrm>
          <a:off x="0" y="0"/>
          <a:ext cx="8543925" cy="9525000"/>
        </a:xfrm>
        <a:prstGeom prst="rect">
          <a:avLst/>
        </a:prstGeom>
      </xdr:spPr>
    </xdr:pic>
  </etc:cellImage>
  <etc:cellImage>
    <xdr:pic>
      <xdr:nvPicPr>
        <xdr:cNvPr id="503" name="ID_F6BD381286F24A33A29396D8437EF1EF" descr="74484"/>
        <xdr:cNvPicPr/>
      </xdr:nvPicPr>
      <xdr:blipFill>
        <a:blip r:embed="rId496"/>
        <a:stretch>
          <a:fillRect/>
        </a:stretch>
      </xdr:blipFill>
      <xdr:spPr>
        <a:xfrm>
          <a:off x="0" y="0"/>
          <a:ext cx="4029075" cy="4495800"/>
        </a:xfrm>
        <a:prstGeom prst="rect">
          <a:avLst/>
        </a:prstGeom>
      </xdr:spPr>
    </xdr:pic>
  </etc:cellImage>
  <etc:cellImage>
    <xdr:pic>
      <xdr:nvPicPr>
        <xdr:cNvPr id="504" name="ID_8CDFA53F49324708A78BB3C947C1AE10" descr="4844"/>
        <xdr:cNvPicPr/>
      </xdr:nvPicPr>
      <xdr:blipFill>
        <a:blip r:embed="rId497"/>
        <a:stretch>
          <a:fillRect/>
        </a:stretch>
      </xdr:blipFill>
      <xdr:spPr>
        <a:xfrm>
          <a:off x="0" y="0"/>
          <a:ext cx="5048250" cy="6477000"/>
        </a:xfrm>
        <a:prstGeom prst="rect">
          <a:avLst/>
        </a:prstGeom>
      </xdr:spPr>
    </xdr:pic>
  </etc:cellImage>
  <etc:cellImage>
    <xdr:pic>
      <xdr:nvPicPr>
        <xdr:cNvPr id="505" name="ID_C9D309A6D8C449908F41DEB746EC4BB4" descr="88888888888888"/>
        <xdr:cNvPicPr/>
      </xdr:nvPicPr>
      <xdr:blipFill>
        <a:blip r:embed="rId498"/>
        <a:stretch>
          <a:fillRect/>
        </a:stretch>
      </xdr:blipFill>
      <xdr:spPr>
        <a:xfrm>
          <a:off x="0" y="0"/>
          <a:ext cx="4572000" cy="6096000"/>
        </a:xfrm>
        <a:prstGeom prst="rect">
          <a:avLst/>
        </a:prstGeom>
      </xdr:spPr>
    </xdr:pic>
  </etc:cellImage>
  <etc:cellImage>
    <xdr:pic>
      <xdr:nvPicPr>
        <xdr:cNvPr id="506" name="ID_080E2D7D4A82486996D07F6A843A35AB" descr="5555555555555"/>
        <xdr:cNvPicPr/>
      </xdr:nvPicPr>
      <xdr:blipFill>
        <a:blip r:embed="rId499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507" name="ID_E0478A531A6B4369B80612F400C14ACE" descr="5959595"/>
        <xdr:cNvPicPr/>
      </xdr:nvPicPr>
      <xdr:blipFill>
        <a:blip r:embed="rId500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08" name="ID_BDCCE966D80A45E0AD4B9B8C066D20FF" descr="48484"/>
        <xdr:cNvPicPr/>
      </xdr:nvPicPr>
      <xdr:blipFill>
        <a:blip r:embed="rId501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09" name="ID_5A34BB1F23E041F38456D5DE6127FAD2" descr="484848"/>
        <xdr:cNvPicPr/>
      </xdr:nvPicPr>
      <xdr:blipFill>
        <a:blip r:embed="rId502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10" name="ID_BFBB2569AA73439E8F93908FA6594478" descr="55555555555"/>
        <xdr:cNvPicPr/>
      </xdr:nvPicPr>
      <xdr:blipFill>
        <a:blip r:embed="rId503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11" name="ID_1D2D465C7D1E467589F923FA1A3F6F07" descr="444444444444"/>
        <xdr:cNvPicPr/>
      </xdr:nvPicPr>
      <xdr:blipFill>
        <a:blip r:embed="rId504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12" name="ID_5C9AA607C45A41CAACF1685612A6FAA6" descr="4848484"/>
        <xdr:cNvPicPr/>
      </xdr:nvPicPr>
      <xdr:blipFill>
        <a:blip r:embed="rId505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13" name="ID_A2E8ED1608E7419A899C67FDBB6F8B23" descr="4484848"/>
        <xdr:cNvPicPr/>
      </xdr:nvPicPr>
      <xdr:blipFill>
        <a:blip r:embed="rId506"/>
        <a:stretch>
          <a:fillRect/>
        </a:stretch>
      </xdr:blipFill>
      <xdr:spPr>
        <a:xfrm>
          <a:off x="0" y="0"/>
          <a:ext cx="6096000" cy="6096000"/>
        </a:xfrm>
        <a:prstGeom prst="rect">
          <a:avLst/>
        </a:prstGeom>
      </xdr:spPr>
    </xdr:pic>
  </etc:cellImage>
  <etc:cellImage>
    <xdr:pic>
      <xdr:nvPicPr>
        <xdr:cNvPr id="514" name="ID_5ECE1BF8EA664CE0B97B6AF08D531B58" descr="484"/>
        <xdr:cNvPicPr/>
      </xdr:nvPicPr>
      <xdr:blipFill>
        <a:blip r:embed="rId507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15" name="ID_ABE479BADA81450EBD9569286948C75F" descr="22222"/>
        <xdr:cNvPicPr/>
      </xdr:nvPicPr>
      <xdr:blipFill>
        <a:blip r:embed="rId508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516" name="ID_3748C4DE1AB142ECB39DD644C244D5EB" descr="22222222222222222222222222"/>
        <xdr:cNvPicPr/>
      </xdr:nvPicPr>
      <xdr:blipFill>
        <a:blip r:embed="rId509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517" name="ID_F7B737A6DAE043F7968A5034E328E6C1" descr="DWDWDW"/>
        <xdr:cNvPicPr/>
      </xdr:nvPicPr>
      <xdr:blipFill>
        <a:blip r:embed="rId510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18" name="ID_EC962045DEFA458BB12CD2C855D69E67" descr="DQDQDQDQDQDQDQDQDQDQDQDQDQDQDQ"/>
        <xdr:cNvPicPr/>
      </xdr:nvPicPr>
      <xdr:blipFill>
        <a:blip r:embed="rId511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19" name="ID_34AA283780A341E88E2387713CE07C15" descr="ADC"/>
        <xdr:cNvPicPr/>
      </xdr:nvPicPr>
      <xdr:blipFill>
        <a:blip r:embed="rId512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20" name="ID_CEFDBEDDE6C64682AA0540B4340C2308" descr="DDDDDDDDDDDDDDDD"/>
        <xdr:cNvPicPr/>
      </xdr:nvPicPr>
      <xdr:blipFill>
        <a:blip r:embed="rId513"/>
        <a:stretch>
          <a:fillRect/>
        </a:stretch>
      </xdr:blipFill>
      <xdr:spPr>
        <a:xfrm>
          <a:off x="0" y="0"/>
          <a:ext cx="4019550" cy="4505325"/>
        </a:xfrm>
        <a:prstGeom prst="rect">
          <a:avLst/>
        </a:prstGeom>
      </xdr:spPr>
    </xdr:pic>
  </etc:cellImage>
  <etc:cellImage>
    <xdr:pic>
      <xdr:nvPicPr>
        <xdr:cNvPr id="521" name="ID_F3F9D9EC931340CBBCC0D20B9768307D" descr="VDDDDDDDDDDD"/>
        <xdr:cNvPicPr/>
      </xdr:nvPicPr>
      <xdr:blipFill>
        <a:blip r:embed="rId514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22" name="ID_0EE85FDD49814CF6927BD212B68F80B8" descr="DWW"/>
        <xdr:cNvPicPr/>
      </xdr:nvPicPr>
      <xdr:blipFill>
        <a:blip r:embed="rId515"/>
        <a:stretch>
          <a:fillRect/>
        </a:stretch>
      </xdr:blipFill>
      <xdr:spPr>
        <a:xfrm>
          <a:off x="0" y="0"/>
          <a:ext cx="7239000" cy="8096250"/>
        </a:xfrm>
        <a:prstGeom prst="rect">
          <a:avLst/>
        </a:prstGeom>
      </xdr:spPr>
    </xdr:pic>
  </etc:cellImage>
  <etc:cellImage>
    <xdr:pic>
      <xdr:nvPicPr>
        <xdr:cNvPr id="523" name="ID_8E8E2DA88E46421AB0AB3B8A211F39D1" descr="WWWWWWWWWWWWWW"/>
        <xdr:cNvPicPr/>
      </xdr:nvPicPr>
      <xdr:blipFill>
        <a:blip r:embed="rId516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24" name="ID_A172BDFA7A06454183048BD7F8F3AEAA" descr="D"/>
        <xdr:cNvPicPr/>
      </xdr:nvPicPr>
      <xdr:blipFill>
        <a:blip r:embed="rId517"/>
        <a:stretch>
          <a:fillRect/>
        </a:stretch>
      </xdr:blipFill>
      <xdr:spPr>
        <a:xfrm>
          <a:off x="0" y="0"/>
          <a:ext cx="7375525" cy="10058400"/>
        </a:xfrm>
        <a:prstGeom prst="rect">
          <a:avLst/>
        </a:prstGeom>
      </xdr:spPr>
    </xdr:pic>
  </etc:cellImage>
  <etc:cellImage>
    <xdr:pic>
      <xdr:nvPicPr>
        <xdr:cNvPr id="525" name="ID_BC8A1CC04D45497C9A951A856C0CFB00" descr="WEWEWEWEWEWEWEWEWEWE"/>
        <xdr:cNvPicPr/>
      </xdr:nvPicPr>
      <xdr:blipFill>
        <a:blip r:embed="rId518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26" name="ID_6C2DAD02283C4069B37145C63923BBBF" descr="FFFFFFFFFFFF"/>
        <xdr:cNvPicPr/>
      </xdr:nvPicPr>
      <xdr:blipFill>
        <a:blip r:embed="rId519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527" name="ID_F5CE74968F5F45EEA2E3B32ACC2BEAE4" descr="QQQQQQQQQQQQQQ"/>
        <xdr:cNvPicPr/>
      </xdr:nvPicPr>
      <xdr:blipFill>
        <a:blip r:embed="rId520"/>
        <a:stretch>
          <a:fillRect/>
        </a:stretch>
      </xdr:blipFill>
      <xdr:spPr>
        <a:xfrm>
          <a:off x="0" y="0"/>
          <a:ext cx="4953000" cy="4960620"/>
        </a:xfrm>
        <a:prstGeom prst="rect">
          <a:avLst/>
        </a:prstGeom>
      </xdr:spPr>
    </xdr:pic>
  </etc:cellImage>
  <etc:cellImage>
    <xdr:pic>
      <xdr:nvPicPr>
        <xdr:cNvPr id="528" name="ID_5A32E0202D8B4E4EA44999F06FE570DE" descr="SQQQQQQQQQ"/>
        <xdr:cNvPicPr/>
      </xdr:nvPicPr>
      <xdr:blipFill>
        <a:blip r:embed="rId521"/>
        <a:stretch>
          <a:fillRect/>
        </a:stretch>
      </xdr:blipFill>
      <xdr:spPr>
        <a:xfrm>
          <a:off x="0" y="0"/>
          <a:ext cx="3810000" cy="3810000"/>
        </a:xfrm>
        <a:prstGeom prst="rect">
          <a:avLst/>
        </a:prstGeom>
      </xdr:spPr>
    </xdr:pic>
  </etc:cellImage>
  <etc:cellImage>
    <xdr:pic>
      <xdr:nvPicPr>
        <xdr:cNvPr id="529" name="ID_6D1E677801504E17BE01280FB172995C" descr="DDDDDDDDDDDDDDDDDDDDDDDDDDDDDD"/>
        <xdr:cNvPicPr/>
      </xdr:nvPicPr>
      <xdr:blipFill>
        <a:blip r:embed="rId522"/>
        <a:stretch>
          <a:fillRect/>
        </a:stretch>
      </xdr:blipFill>
      <xdr:spPr>
        <a:xfrm>
          <a:off x="0" y="0"/>
          <a:ext cx="3810000" cy="3810000"/>
        </a:xfrm>
        <a:prstGeom prst="rect">
          <a:avLst/>
        </a:prstGeom>
      </xdr:spPr>
    </xdr:pic>
  </etc:cellImage>
  <etc:cellImage>
    <xdr:pic>
      <xdr:nvPicPr>
        <xdr:cNvPr id="530" name="ID_E5D1C6B1B6DF44BDB35152957842E9A1" descr="SSSSSSSSSSSSSSSSSSSSSSSSSSSSSSSSSS"/>
        <xdr:cNvPicPr/>
      </xdr:nvPicPr>
      <xdr:blipFill>
        <a:blip r:embed="rId523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31" name="ID_7A83E0ADEE2642518C22595673AADDD4" descr="CWWWWWWWWWWWWWWWWW"/>
        <xdr:cNvPicPr/>
      </xdr:nvPicPr>
      <xdr:blipFill>
        <a:blip r:embed="rId524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32" name="ID_F8AA6DDC74524870ACB34FFAC5F945BE" descr="QQQQQQQQQQQQQQQQQQQQQQQQQQQQQ"/>
        <xdr:cNvPicPr/>
      </xdr:nvPicPr>
      <xdr:blipFill>
        <a:blip r:embed="rId525"/>
        <a:stretch>
          <a:fillRect/>
        </a:stretch>
      </xdr:blipFill>
      <xdr:spPr>
        <a:xfrm>
          <a:off x="0" y="0"/>
          <a:ext cx="9525000" cy="9429750"/>
        </a:xfrm>
        <a:prstGeom prst="rect">
          <a:avLst/>
        </a:prstGeom>
      </xdr:spPr>
    </xdr:pic>
  </etc:cellImage>
  <etc:cellImage>
    <xdr:pic>
      <xdr:nvPicPr>
        <xdr:cNvPr id="533" name="ID_6C673F4DBD0F4514A8A27F7B38FB3CF0" descr="لابلابلابلابلاقلاق"/>
        <xdr:cNvPicPr/>
      </xdr:nvPicPr>
      <xdr:blipFill>
        <a:blip r:embed="rId526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34" name="ID_26F527B5A4CC491993BBCE8115F6F169" descr="بصبصبصبص"/>
        <xdr:cNvPicPr/>
      </xdr:nvPicPr>
      <xdr:blipFill>
        <a:blip r:embed="rId527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35" name="ID_9F7A4B93720242EFB7DFABD2E30FD2BE" descr="صبصبص"/>
        <xdr:cNvPicPr/>
      </xdr:nvPicPr>
      <xdr:blipFill>
        <a:blip r:embed="rId528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36" name="ID_6168F4340E824BD68C9FD0B034DDECFA" descr="بصصصصصصص"/>
        <xdr:cNvPicPr/>
      </xdr:nvPicPr>
      <xdr:blipFill>
        <a:blip r:embed="rId52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537" name="ID_4EF9880E61F4445AB1371113B4921E43" descr="ضسضسضس"/>
        <xdr:cNvPicPr/>
      </xdr:nvPicPr>
      <xdr:blipFill>
        <a:blip r:embed="rId530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38" name="ID_F0F28FF17A9B46A08A45670A85749D99" descr="ضيضيضيض"/>
        <xdr:cNvPicPr/>
      </xdr:nvPicPr>
      <xdr:blipFill>
        <a:blip r:embed="rId531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39" name="ID_246191D9D5B1495387F1088C838BD597" descr="ريري"/>
        <xdr:cNvPicPr/>
      </xdr:nvPicPr>
      <xdr:blipFill>
        <a:blip r:embed="rId532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40" name="ID_724E5024826D43ECAD1B7210B2321A90" descr="لايبلايب"/>
        <xdr:cNvPicPr/>
      </xdr:nvPicPr>
      <xdr:blipFill>
        <a:blip r:embed="rId533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41" name="ID_AA6243E2F860421499714954C1BE631F" descr="صبصبرصثس"/>
        <xdr:cNvPicPr/>
      </xdr:nvPicPr>
      <xdr:blipFill>
        <a:blip r:embed="rId534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542" name="ID_05230B543F274CA783C7CB78D8A7826B" descr="رسيريسريسريس"/>
        <xdr:cNvPicPr/>
      </xdr:nvPicPr>
      <xdr:blipFill>
        <a:blip r:embed="rId535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43" name="ID_3CFE3473A61A470BAB6F816CFEF9465D" descr="8809634610102"/>
        <xdr:cNvPicPr/>
      </xdr:nvPicPr>
      <xdr:blipFill>
        <a:blip r:embed="rId536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44" name="ID_CBAD1BF5CDA9485C8C73770C04E5CCB7" descr="8809634610683"/>
        <xdr:cNvPicPr/>
      </xdr:nvPicPr>
      <xdr:blipFill>
        <a:blip r:embed="rId537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45" name="ID_B13964A676674BC9ACF6F3B23E612571" descr="بؤصبصب"/>
        <xdr:cNvPicPr/>
      </xdr:nvPicPr>
      <xdr:blipFill>
        <a:blip r:embed="rId538"/>
        <a:stretch>
          <a:fillRect/>
        </a:stretch>
      </xdr:blipFill>
      <xdr:spPr>
        <a:xfrm>
          <a:off x="0" y="0"/>
          <a:ext cx="10057765" cy="10057765"/>
        </a:xfrm>
        <a:prstGeom prst="rect">
          <a:avLst/>
        </a:prstGeom>
      </xdr:spPr>
    </xdr:pic>
  </etc:cellImage>
  <etc:cellImage>
    <xdr:pic>
      <xdr:nvPicPr>
        <xdr:cNvPr id="546" name="ID_E4AEEFA24E8845ABB2A065FF850C9188" descr="8809634610096"/>
        <xdr:cNvPicPr/>
      </xdr:nvPicPr>
      <xdr:blipFill>
        <a:blip r:embed="rId539"/>
        <a:stretch>
          <a:fillRect/>
        </a:stretch>
      </xdr:blipFill>
      <xdr:spPr>
        <a:xfrm>
          <a:off x="0" y="0"/>
          <a:ext cx="4143375" cy="4714875"/>
        </a:xfrm>
        <a:prstGeom prst="rect">
          <a:avLst/>
        </a:prstGeom>
      </xdr:spPr>
    </xdr:pic>
  </etc:cellImage>
  <etc:cellImage>
    <xdr:pic>
      <xdr:nvPicPr>
        <xdr:cNvPr id="547" name="ID_49B4BDB4336F4189A1996F9FACEE4BE2" descr="8809634611093"/>
        <xdr:cNvPicPr/>
      </xdr:nvPicPr>
      <xdr:blipFill>
        <a:blip r:embed="rId540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48" name="ID_9822A5925A924CD9A880EE21844ECAA7" descr="8809634611109"/>
        <xdr:cNvPicPr/>
      </xdr:nvPicPr>
      <xdr:blipFill>
        <a:blip r:embed="rId541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49" name="ID_2DBAD68B8E914A468F9170EBBE2B4C6A" descr="8809634611086"/>
        <xdr:cNvPicPr/>
      </xdr:nvPicPr>
      <xdr:blipFill>
        <a:blip r:embed="rId54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550" name="ID_5701E3A7A2884703A5E8C7E427F71D2C" descr="8809782555508"/>
        <xdr:cNvPicPr/>
      </xdr:nvPicPr>
      <xdr:blipFill>
        <a:blip r:embed="rId543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551" name="ID_E0D0087DC0DE43348EB278020F3AF089" descr="8809738312872"/>
        <xdr:cNvPicPr/>
      </xdr:nvPicPr>
      <xdr:blipFill>
        <a:blip r:embed="rId544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52" name="ID_FCA6C850A15D4B598DAD5E985196B714" descr="8809738316412"/>
        <xdr:cNvPicPr/>
      </xdr:nvPicPr>
      <xdr:blipFill>
        <a:blip r:embed="rId545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553" name="ID_5CCB2274947549138A06222963D1D4F9" descr="8809525246014"/>
        <xdr:cNvPicPr/>
      </xdr:nvPicPr>
      <xdr:blipFill>
        <a:blip r:embed="rId546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54" name="ID_E847DD66487E43A98E21272F3678D50B" descr="8809968130130"/>
        <xdr:cNvPicPr/>
      </xdr:nvPicPr>
      <xdr:blipFill>
        <a:blip r:embed="rId547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55" name="ID_A3A211459C9D4F8EAE020F81EFA83251" descr="8809738312728"/>
        <xdr:cNvPicPr/>
      </xdr:nvPicPr>
      <xdr:blipFill>
        <a:blip r:embed="rId548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56" name="ID_C7C2F55EDE70497C9015451D4A8E862A" descr="ؤصص"/>
        <xdr:cNvPicPr/>
      </xdr:nvPicPr>
      <xdr:blipFill>
        <a:blip r:embed="rId54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557" name="ID_3B26A455AB624F3D914101CB24491B3D" descr="8809968130123"/>
        <xdr:cNvPicPr/>
      </xdr:nvPicPr>
      <xdr:blipFill>
        <a:blip r:embed="rId550"/>
        <a:stretch>
          <a:fillRect/>
        </a:stretch>
      </xdr:blipFill>
      <xdr:spPr>
        <a:xfrm>
          <a:off x="0" y="0"/>
          <a:ext cx="4000500" cy="4533900"/>
        </a:xfrm>
        <a:prstGeom prst="rect">
          <a:avLst/>
        </a:prstGeom>
      </xdr:spPr>
    </xdr:pic>
  </etc:cellImage>
  <etc:cellImage>
    <xdr:pic>
      <xdr:nvPicPr>
        <xdr:cNvPr id="558" name="ID_D7903FCD5B2C4D1D9765253DD3BBE078" descr="PORE REFINING DUO SET"/>
        <xdr:cNvPicPr/>
      </xdr:nvPicPr>
      <xdr:blipFill>
        <a:blip r:embed="rId551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59" name="ID_7756BB1E85774E2DB8D9B6939B705E34" descr="8809738316986"/>
        <xdr:cNvPicPr/>
      </xdr:nvPicPr>
      <xdr:blipFill>
        <a:blip r:embed="rId552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60" name="ID_1744553FD7774D8BAD8E6B14A76C06A6" descr="8809738316993"/>
        <xdr:cNvPicPr/>
      </xdr:nvPicPr>
      <xdr:blipFill>
        <a:blip r:embed="rId553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561" name="ID_FF5B85906B72401A8BB4D314E69DEAA3" descr="8809968133193"/>
        <xdr:cNvPicPr/>
      </xdr:nvPicPr>
      <xdr:blipFill>
        <a:blip r:embed="rId554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62" name="ID_3D7DCFB5CC1A46C7B19E44D54AFF6BC2" descr="8809738316139"/>
        <xdr:cNvPicPr/>
      </xdr:nvPicPr>
      <xdr:blipFill>
        <a:blip r:embed="rId555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63" name="ID_A37B742C70664C4C8F084EF9DCD2E445" descr="8809598450165"/>
        <xdr:cNvPicPr/>
      </xdr:nvPicPr>
      <xdr:blipFill>
        <a:blip r:embed="rId556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564" name="ID_A71ABCED04CA40D981293824216FC93C" descr="8809416470245"/>
        <xdr:cNvPicPr/>
      </xdr:nvPicPr>
      <xdr:blipFill>
        <a:blip r:embed="rId557"/>
        <a:stretch>
          <a:fillRect/>
        </a:stretch>
      </xdr:blipFill>
      <xdr:spPr>
        <a:xfrm>
          <a:off x="0" y="0"/>
          <a:ext cx="10057765" cy="10057765"/>
        </a:xfrm>
        <a:prstGeom prst="rect">
          <a:avLst/>
        </a:prstGeom>
      </xdr:spPr>
    </xdr:pic>
  </etc:cellImage>
  <etc:cellImage>
    <xdr:pic>
      <xdr:nvPicPr>
        <xdr:cNvPr id="565" name="ID_6E9ADBD724DA456798C6FB5728F2CED1" descr="8809598452350"/>
        <xdr:cNvPicPr/>
      </xdr:nvPicPr>
      <xdr:blipFill>
        <a:blip r:embed="rId558"/>
        <a:stretch>
          <a:fillRect/>
        </a:stretch>
      </xdr:blipFill>
      <xdr:spPr>
        <a:xfrm>
          <a:off x="0" y="0"/>
          <a:ext cx="4391025" cy="4124325"/>
        </a:xfrm>
        <a:prstGeom prst="rect">
          <a:avLst/>
        </a:prstGeom>
      </xdr:spPr>
    </xdr:pic>
  </etc:cellImage>
  <etc:cellImage>
    <xdr:pic>
      <xdr:nvPicPr>
        <xdr:cNvPr id="566" name="ID_06ADE27250E145C2875809E5372CB4B4" descr="8809416470030"/>
        <xdr:cNvPicPr/>
      </xdr:nvPicPr>
      <xdr:blipFill>
        <a:blip r:embed="rId559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67" name="ID_9C0AC9D4DDF44467BDDD39F04714C93D" descr="RED RICE INOSITOL EXFOLIATING CARE PORE PEEL SERUM_80ML"/>
        <xdr:cNvPicPr/>
      </xdr:nvPicPr>
      <xdr:blipFill>
        <a:blip r:embed="rId560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68" name="ID_505D9447CA7243C4ADEF3E9817CD3A27" descr="THE ALPHA-ARBUTIN DISCOLORATION CARE HYDROGEL MASK 34G (1EA)"/>
        <xdr:cNvPicPr/>
      </xdr:nvPicPr>
      <xdr:blipFill>
        <a:blip r:embed="rId561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69" name="ID_905509C92680472294B795B92F916308" descr="8809598457249"/>
        <xdr:cNvPicPr/>
      </xdr:nvPicPr>
      <xdr:blipFill>
        <a:blip r:embed="rId562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70" name="ID_180995C9B2AC4E8A868D7CC35AB45109" descr="8809598457263"/>
        <xdr:cNvPicPr/>
      </xdr:nvPicPr>
      <xdr:blipFill>
        <a:blip r:embed="rId563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71" name="ID_BE1D75444F984BBDB88FF13E8EE3BD4C" descr="8809598457232"/>
        <xdr:cNvPicPr/>
      </xdr:nvPicPr>
      <xdr:blipFill>
        <a:blip r:embed="rId564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572" name="ID_EA3700D136FB4E5EBE48B8ABF9310CB5" descr="8809598454781"/>
        <xdr:cNvPicPr/>
      </xdr:nvPicPr>
      <xdr:blipFill>
        <a:blip r:embed="rId565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73" name="ID_4E4A6712D2024A06865001D38CA45040" descr="8809874684185"/>
        <xdr:cNvPicPr/>
      </xdr:nvPicPr>
      <xdr:blipFill>
        <a:blip r:embed="rId566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74" name="ID_A292FFDDE11C48D69452B177BF1C818A" descr="8809874685373"/>
        <xdr:cNvPicPr/>
      </xdr:nvPicPr>
      <xdr:blipFill>
        <a:blip r:embed="rId567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75" name="ID_B777D71641AB45A08E128B0402E5462C" descr="8809874682679"/>
        <xdr:cNvPicPr/>
      </xdr:nvPicPr>
      <xdr:blipFill>
        <a:blip r:embed="rId568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76" name="ID_EEEC399E3463484A9F60319B400F4186" descr="8809874682686"/>
        <xdr:cNvPicPr/>
      </xdr:nvPicPr>
      <xdr:blipFill>
        <a:blip r:embed="rId569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77" name="ID_60D18B7F6BEE4C5484DC6A4AEA3B3BE0" descr="8809874684130"/>
        <xdr:cNvPicPr/>
      </xdr:nvPicPr>
      <xdr:blipFill>
        <a:blip r:embed="rId570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78" name="ID_8E74FBFC20CC4CF691E7158F76103069" descr="8809874684291"/>
        <xdr:cNvPicPr/>
      </xdr:nvPicPr>
      <xdr:blipFill>
        <a:blip r:embed="rId571"/>
        <a:stretch>
          <a:fillRect/>
        </a:stretch>
      </xdr:blipFill>
      <xdr:spPr>
        <a:xfrm>
          <a:off x="0" y="0"/>
          <a:ext cx="2133600" cy="2133600"/>
        </a:xfrm>
        <a:prstGeom prst="rect">
          <a:avLst/>
        </a:prstGeom>
      </xdr:spPr>
    </xdr:pic>
  </etc:cellImage>
  <etc:cellImage>
    <xdr:pic>
      <xdr:nvPicPr>
        <xdr:cNvPr id="579" name="ID_8E82FE170AD0421A9A1CA29FC7B73DE9" descr="8809874685069"/>
        <xdr:cNvPicPr/>
      </xdr:nvPicPr>
      <xdr:blipFill>
        <a:blip r:embed="rId572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80" name="ID_9D21CB0529B04C2BA2CEED71D58553F2" descr="8809874683126"/>
        <xdr:cNvPicPr/>
      </xdr:nvPicPr>
      <xdr:blipFill>
        <a:blip r:embed="rId573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81" name="ID_6AA9A9C534A440B5B78ABDB3DA757BC5" descr="8809874683171"/>
        <xdr:cNvPicPr/>
      </xdr:nvPicPr>
      <xdr:blipFill>
        <a:blip r:embed="rId574"/>
        <a:stretch>
          <a:fillRect/>
        </a:stretch>
      </xdr:blipFill>
      <xdr:spPr>
        <a:xfrm>
          <a:off x="0" y="0"/>
          <a:ext cx="3476625" cy="5210175"/>
        </a:xfrm>
        <a:prstGeom prst="rect">
          <a:avLst/>
        </a:prstGeom>
      </xdr:spPr>
    </xdr:pic>
  </etc:cellImage>
  <etc:cellImage>
    <xdr:pic>
      <xdr:nvPicPr>
        <xdr:cNvPr id="582" name="ID_9C927725A48E4F21A55F337AE06A8D44" descr="8809874683874"/>
        <xdr:cNvPicPr/>
      </xdr:nvPicPr>
      <xdr:blipFill>
        <a:blip r:embed="rId575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583" name="ID_5A50AACDF5964386A718F363D6BCE91C" descr="8809874683904"/>
        <xdr:cNvPicPr/>
      </xdr:nvPicPr>
      <xdr:blipFill>
        <a:blip r:embed="rId576"/>
        <a:stretch>
          <a:fillRect/>
        </a:stretch>
      </xdr:blipFill>
      <xdr:spPr>
        <a:xfrm>
          <a:off x="0" y="0"/>
          <a:ext cx="2105025" cy="2171700"/>
        </a:xfrm>
        <a:prstGeom prst="rect">
          <a:avLst/>
        </a:prstGeom>
      </xdr:spPr>
    </xdr:pic>
  </etc:cellImage>
  <etc:cellImage>
    <xdr:pic>
      <xdr:nvPicPr>
        <xdr:cNvPr id="584" name="ID_D0397C1B089A48A381A6CA2DFCE68AAA" descr="8809874684024"/>
        <xdr:cNvPicPr/>
      </xdr:nvPicPr>
      <xdr:blipFill>
        <a:blip r:embed="rId577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85" name="ID_E05C23494F6A452D8DE3A1DDB7E5CA53" descr="8809151133504"/>
        <xdr:cNvPicPr/>
      </xdr:nvPicPr>
      <xdr:blipFill>
        <a:blip r:embed="rId578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86" name="ID_CDEF86F28B3F465C80DA9064B883A138" descr="8809238962706"/>
        <xdr:cNvPicPr/>
      </xdr:nvPicPr>
      <xdr:blipFill>
        <a:blip r:embed="rId579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87" name="ID_97226C3082554E00AE2637A2870B57BA" descr="8809623944027"/>
        <xdr:cNvPicPr/>
      </xdr:nvPicPr>
      <xdr:blipFill>
        <a:blip r:embed="rId580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88" name="ID_E43A23ABEE574A8B8F4548599C6B9512" descr="8809496775315"/>
        <xdr:cNvPicPr/>
      </xdr:nvPicPr>
      <xdr:blipFill>
        <a:blip r:embed="rId581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89" name="ID_501681AF19134E899DBB061D2A9719B9" descr="8809572890611"/>
        <xdr:cNvPicPr/>
      </xdr:nvPicPr>
      <xdr:blipFill>
        <a:blip r:embed="rId582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595" name="ID_10B87FE64D344F87A0D8F909CFEC69AB" descr="بصبضصبصض"/>
        <xdr:cNvPicPr/>
      </xdr:nvPicPr>
      <xdr:blipFill>
        <a:blip r:embed="rId583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596" name="ID_3A8A2BBCD7934776B39525CC3EA495E8" descr="صؤصضؤضص"/>
        <xdr:cNvPicPr/>
      </xdr:nvPicPr>
      <xdr:blipFill>
        <a:blip r:embed="rId584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597" name="ID_5D27082B0DBC434F9AD19F936A0DDF43" descr="images (17)"/>
        <xdr:cNvPicPr/>
      </xdr:nvPicPr>
      <xdr:blipFill>
        <a:blip r:embed="rId585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598" name="ID_5D1102F200DB44EF832DB76AB901F102" descr="بصبصثب"/>
        <xdr:cNvPicPr/>
      </xdr:nvPicPr>
      <xdr:blipFill>
        <a:blip r:embed="rId586"/>
        <a:stretch>
          <a:fillRect/>
        </a:stretch>
      </xdr:blipFill>
      <xdr:spPr>
        <a:xfrm>
          <a:off x="0" y="0"/>
          <a:ext cx="9753600" cy="9753600"/>
        </a:xfrm>
        <a:prstGeom prst="rect">
          <a:avLst/>
        </a:prstGeom>
      </xdr:spPr>
    </xdr:pic>
  </etc:cellImage>
  <etc:cellImage>
    <xdr:pic>
      <xdr:nvPicPr>
        <xdr:cNvPr id="599" name="ID_D3B0E93B938842F88A3984AA407D242F" descr="ضصثبصثبلصثبصث"/>
        <xdr:cNvPicPr/>
      </xdr:nvPicPr>
      <xdr:blipFill>
        <a:blip r:embed="rId587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600" name="ID_3038FE0BBCC743D5ACDEE55282CCCAEF" descr="بثبصث"/>
        <xdr:cNvPicPr/>
      </xdr:nvPicPr>
      <xdr:blipFill>
        <a:blip r:embed="rId588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601" name="ID_A6AA5294B25547BCBDC8DB6A5910A5B9" descr="ضصبصضبصب"/>
        <xdr:cNvPicPr/>
      </xdr:nvPicPr>
      <xdr:blipFill>
        <a:blip r:embed="rId589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602" name="ID_CB215F2B38024661AF9B9E20CF9A4C1B" descr="لصثقلصثلصثلثص"/>
        <xdr:cNvPicPr/>
      </xdr:nvPicPr>
      <xdr:blipFill>
        <a:blip r:embed="rId590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03" name="ID_1ACE4D89017F4A3994C445DA69542978" descr="8800330330011"/>
        <xdr:cNvPicPr/>
      </xdr:nvPicPr>
      <xdr:blipFill>
        <a:blip r:embed="rId591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04" name="ID_86C3F84B66644FAF8A9767AD5ADF67AD" descr="8800330330349"/>
        <xdr:cNvPicPr/>
      </xdr:nvPicPr>
      <xdr:blipFill>
        <a:blip r:embed="rId592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05" name="ID_997E8349F6AB4C5C8BBAB6468977702B" descr="8800330330370"/>
        <xdr:cNvPicPr/>
      </xdr:nvPicPr>
      <xdr:blipFill>
        <a:blip r:embed="rId593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06" name="ID_54728DF2388B4F27A0517D05F3BA6A1C" descr="8800330330097"/>
        <xdr:cNvPicPr/>
      </xdr:nvPicPr>
      <xdr:blipFill>
        <a:blip r:embed="rId594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607" name="ID_764FFFDCE8974E2EAFD9B8A18F81356A" descr="8809518613250ؤس"/>
        <xdr:cNvPicPr/>
      </xdr:nvPicPr>
      <xdr:blipFill>
        <a:blip r:embed="rId595"/>
        <a:stretch>
          <a:fillRect/>
        </a:stretch>
      </xdr:blipFill>
      <xdr:spPr>
        <a:xfrm>
          <a:off x="0" y="0"/>
          <a:ext cx="7486650" cy="9525000"/>
        </a:xfrm>
        <a:prstGeom prst="rect">
          <a:avLst/>
        </a:prstGeom>
      </xdr:spPr>
    </xdr:pic>
  </etc:cellImage>
  <etc:cellImage>
    <xdr:pic>
      <xdr:nvPicPr>
        <xdr:cNvPr id="608" name="ID_9197B497A3784A6D8E851BB4C218E762" descr="8809518613243"/>
        <xdr:cNvPicPr/>
      </xdr:nvPicPr>
      <xdr:blipFill>
        <a:blip r:embed="rId596"/>
        <a:stretch>
          <a:fillRect/>
        </a:stretch>
      </xdr:blipFill>
      <xdr:spPr>
        <a:xfrm>
          <a:off x="0" y="0"/>
          <a:ext cx="10057765" cy="10057765"/>
        </a:xfrm>
        <a:prstGeom prst="rect">
          <a:avLst/>
        </a:prstGeom>
      </xdr:spPr>
    </xdr:pic>
  </etc:cellImage>
  <etc:cellImage>
    <xdr:pic>
      <xdr:nvPicPr>
        <xdr:cNvPr id="609" name="ID_FF0E563986514D859FBEEB496EA116CF" descr="8809518613267"/>
        <xdr:cNvPicPr/>
      </xdr:nvPicPr>
      <xdr:blipFill>
        <a:blip r:embed="rId597"/>
        <a:stretch>
          <a:fillRect/>
        </a:stretch>
      </xdr:blipFill>
      <xdr:spPr>
        <a:xfrm>
          <a:off x="0" y="0"/>
          <a:ext cx="1895475" cy="2419350"/>
        </a:xfrm>
        <a:prstGeom prst="rect">
          <a:avLst/>
        </a:prstGeom>
      </xdr:spPr>
    </xdr:pic>
  </etc:cellImage>
  <etc:cellImage>
    <xdr:pic>
      <xdr:nvPicPr>
        <xdr:cNvPr id="610" name="ID_C70B408877914720A78BEB5C98778DBE" descr="8809875454312"/>
        <xdr:cNvPicPr/>
      </xdr:nvPicPr>
      <xdr:blipFill>
        <a:blip r:embed="rId598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11" name="ID_8A9F76E5F3DF47C9BB1ACEB44BF6418C" descr="8809435402081"/>
        <xdr:cNvPicPr/>
      </xdr:nvPicPr>
      <xdr:blipFill>
        <a:blip r:embed="rId599"/>
        <a:stretch>
          <a:fillRect/>
        </a:stretch>
      </xdr:blipFill>
      <xdr:spPr>
        <a:xfrm>
          <a:off x="0" y="0"/>
          <a:ext cx="2390775" cy="1914525"/>
        </a:xfrm>
        <a:prstGeom prst="rect">
          <a:avLst/>
        </a:prstGeom>
      </xdr:spPr>
    </xdr:pic>
  </etc:cellImage>
  <etc:cellImage>
    <xdr:pic>
      <xdr:nvPicPr>
        <xdr:cNvPr id="612" name="ID_AEB0C5C761354C0E95CBE3524532C3B4" descr="8809435402104"/>
        <xdr:cNvPicPr/>
      </xdr:nvPicPr>
      <xdr:blipFill>
        <a:blip r:embed="rId600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13" name="ID_C55490D6B29541D0A5F19F93D7E38B6C" descr="8809435402128"/>
        <xdr:cNvPicPr/>
      </xdr:nvPicPr>
      <xdr:blipFill>
        <a:blip r:embed="rId601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14" name="ID_F128D980C95D413086C443B43F77E1C1" descr="8809435402159"/>
        <xdr:cNvPicPr/>
      </xdr:nvPicPr>
      <xdr:blipFill>
        <a:blip r:embed="rId602"/>
        <a:stretch>
          <a:fillRect/>
        </a:stretch>
      </xdr:blipFill>
      <xdr:spPr>
        <a:xfrm>
          <a:off x="0" y="0"/>
          <a:ext cx="2390775" cy="1914525"/>
        </a:xfrm>
        <a:prstGeom prst="rect">
          <a:avLst/>
        </a:prstGeom>
      </xdr:spPr>
    </xdr:pic>
  </etc:cellImage>
  <etc:cellImage>
    <xdr:pic>
      <xdr:nvPicPr>
        <xdr:cNvPr id="615" name="ID_4D35B904937040E6ACB8539426E032C9" descr="8809435402111"/>
        <xdr:cNvPicPr/>
      </xdr:nvPicPr>
      <xdr:blipFill>
        <a:blip r:embed="rId603"/>
        <a:stretch>
          <a:fillRect/>
        </a:stretch>
      </xdr:blipFill>
      <xdr:spPr>
        <a:xfrm>
          <a:off x="0" y="0"/>
          <a:ext cx="3810000" cy="3810000"/>
        </a:xfrm>
        <a:prstGeom prst="rect">
          <a:avLst/>
        </a:prstGeom>
      </xdr:spPr>
    </xdr:pic>
  </etc:cellImage>
  <etc:cellImage>
    <xdr:pic>
      <xdr:nvPicPr>
        <xdr:cNvPr id="616" name="ID_7E127DDDF43142529A6113ABE658B3C9" descr="8809435402166"/>
        <xdr:cNvPicPr/>
      </xdr:nvPicPr>
      <xdr:blipFill>
        <a:blip r:embed="rId604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17" name="ID_C57F45AE779746329DAABABD40A2CCD1" descr="8809435402142"/>
        <xdr:cNvPicPr/>
      </xdr:nvPicPr>
      <xdr:blipFill>
        <a:blip r:embed="rId605"/>
        <a:stretch>
          <a:fillRect/>
        </a:stretch>
      </xdr:blipFill>
      <xdr:spPr>
        <a:xfrm>
          <a:off x="0" y="0"/>
          <a:ext cx="2857500" cy="2857500"/>
        </a:xfrm>
        <a:prstGeom prst="rect">
          <a:avLst/>
        </a:prstGeom>
      </xdr:spPr>
    </xdr:pic>
  </etc:cellImage>
  <etc:cellImage>
    <xdr:pic>
      <xdr:nvPicPr>
        <xdr:cNvPr id="618" name="ID_9413873DB6E14DADB34C28D09A22D3FE" descr="8809435402135"/>
        <xdr:cNvPicPr/>
      </xdr:nvPicPr>
      <xdr:blipFill>
        <a:blip r:embed="rId606"/>
        <a:stretch>
          <a:fillRect/>
        </a:stretch>
      </xdr:blipFill>
      <xdr:spPr>
        <a:xfrm>
          <a:off x="0" y="0"/>
          <a:ext cx="10058400" cy="8046720"/>
        </a:xfrm>
        <a:prstGeom prst="rect">
          <a:avLst/>
        </a:prstGeom>
      </xdr:spPr>
    </xdr:pic>
  </etc:cellImage>
  <etc:cellImage>
    <xdr:pic>
      <xdr:nvPicPr>
        <xdr:cNvPr id="619" name="ID_469ECFE1CCAA4329ACD7AD293B1A3272" descr="8809435408595"/>
        <xdr:cNvPicPr/>
      </xdr:nvPicPr>
      <xdr:blipFill>
        <a:blip r:embed="rId607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20" name="ID_13AE41B0A1284F38AC41C683D3D94FB1" descr="8809435408540"/>
        <xdr:cNvPicPr/>
      </xdr:nvPicPr>
      <xdr:blipFill>
        <a:blip r:embed="rId608"/>
        <a:stretch>
          <a:fillRect/>
        </a:stretch>
      </xdr:blipFill>
      <xdr:spPr>
        <a:xfrm>
          <a:off x="0" y="0"/>
          <a:ext cx="4572000" cy="4572000"/>
        </a:xfrm>
        <a:prstGeom prst="rect">
          <a:avLst/>
        </a:prstGeom>
      </xdr:spPr>
    </xdr:pic>
  </etc:cellImage>
  <etc:cellImage>
    <xdr:pic>
      <xdr:nvPicPr>
        <xdr:cNvPr id="621" name="ID_4E7D66F8DD9A400E95EE71603D6C8952" descr="8809435408571"/>
        <xdr:cNvPicPr/>
      </xdr:nvPicPr>
      <xdr:blipFill>
        <a:blip r:embed="rId609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22" name="ID_CA775BC4C8664BF4B10353628FA75198" descr="8809435408588"/>
        <xdr:cNvPicPr/>
      </xdr:nvPicPr>
      <xdr:blipFill>
        <a:blip r:embed="rId610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623" name="ID_ED22533604F0411AB71F1658E6645976" descr="8809435408533"/>
        <xdr:cNvPicPr/>
      </xdr:nvPicPr>
      <xdr:blipFill>
        <a:blip r:embed="rId611"/>
        <a:stretch>
          <a:fillRect/>
        </a:stretch>
      </xdr:blipFill>
      <xdr:spPr>
        <a:xfrm>
          <a:off x="0" y="0"/>
          <a:ext cx="3362325" cy="5391150"/>
        </a:xfrm>
        <a:prstGeom prst="rect">
          <a:avLst/>
        </a:prstGeom>
      </xdr:spPr>
    </xdr:pic>
  </etc:cellImage>
  <etc:cellImage>
    <xdr:pic>
      <xdr:nvPicPr>
        <xdr:cNvPr id="624" name="ID_BDE575D2AB344F09A723DB4D9AB2923B" descr="8809435408564"/>
        <xdr:cNvPicPr/>
      </xdr:nvPicPr>
      <xdr:blipFill>
        <a:blip r:embed="rId612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274" name="ID_E47E933D4C27417EAAFF86EEE1BC2FB8" descr="PURITY PEARL SHEET MASK 22MLسسسسسسسس"/>
        <xdr:cNvPicPr/>
      </xdr:nvPicPr>
      <xdr:blipFill>
        <a:blip r:embed="rId613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427" name="ID_7F091FB162C245EB9DD26B90235645F8" descr="8809435408601"/>
        <xdr:cNvPicPr/>
      </xdr:nvPicPr>
      <xdr:blipFill>
        <a:blip r:embed="rId614"/>
        <a:stretch>
          <a:fillRect/>
        </a:stretch>
      </xdr:blipFill>
      <xdr:spPr>
        <a:xfrm>
          <a:off x="0" y="0"/>
          <a:ext cx="2076450" cy="3171825"/>
        </a:xfrm>
        <a:prstGeom prst="rect">
          <a:avLst/>
        </a:prstGeom>
      </xdr:spPr>
    </xdr:pic>
  </etc:cellImage>
  <etc:cellImage>
    <xdr:pic>
      <xdr:nvPicPr>
        <xdr:cNvPr id="479" name="ID_2D42709767B240ADB06FC1254F4E063E" descr="8809652583235"/>
        <xdr:cNvPicPr/>
      </xdr:nvPicPr>
      <xdr:blipFill>
        <a:blip r:embed="rId615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590" name="ID_D5F65E992C894560933E41AD83412DD7" descr="8809652583273"/>
        <xdr:cNvPicPr/>
      </xdr:nvPicPr>
      <xdr:blipFill>
        <a:blip r:embed="rId616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591" name="ID_8E10F40397E8499CBF32871BE1715C80" descr="8809532221929"/>
        <xdr:cNvPicPr/>
      </xdr:nvPicPr>
      <xdr:blipFill>
        <a:blip r:embed="rId617"/>
        <a:stretch>
          <a:fillRect/>
        </a:stretch>
      </xdr:blipFill>
      <xdr:spPr>
        <a:xfrm>
          <a:off x="0" y="0"/>
          <a:ext cx="4762500" cy="4762500"/>
        </a:xfrm>
        <a:prstGeom prst="rect">
          <a:avLst/>
        </a:prstGeom>
      </xdr:spPr>
    </xdr:pic>
  </etc:cellImage>
  <etc:cellImage>
    <xdr:pic>
      <xdr:nvPicPr>
        <xdr:cNvPr id="592" name="ID_EE92BB14202F4FE38E28A0E8A3211548" descr="8809532221523"/>
        <xdr:cNvPicPr/>
      </xdr:nvPicPr>
      <xdr:blipFill>
        <a:blip r:embed="rId618"/>
        <a:stretch>
          <a:fillRect/>
        </a:stretch>
      </xdr:blipFill>
      <xdr:spPr>
        <a:xfrm>
          <a:off x="0" y="0"/>
          <a:ext cx="3810000" cy="3810000"/>
        </a:xfrm>
        <a:prstGeom prst="rect">
          <a:avLst/>
        </a:prstGeom>
      </xdr:spPr>
    </xdr:pic>
  </etc:cellImage>
  <etc:cellImage>
    <xdr:pic>
      <xdr:nvPicPr>
        <xdr:cNvPr id="593" name="ID_EDCE6B7C4C884DCBA2D5EF11D4D7DC6F" descr="8809532220885"/>
        <xdr:cNvPicPr/>
      </xdr:nvPicPr>
      <xdr:blipFill>
        <a:blip r:embed="rId619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594" name="ID_25B4C75F3EE24CDC8F985D24F6D5C905" descr="8809532221813"/>
        <xdr:cNvPicPr/>
      </xdr:nvPicPr>
      <xdr:blipFill>
        <a:blip r:embed="rId620"/>
        <a:stretch>
          <a:fillRect/>
        </a:stretch>
      </xdr:blipFill>
      <xdr:spPr>
        <a:xfrm>
          <a:off x="0" y="0"/>
          <a:ext cx="6350000" cy="6350000"/>
        </a:xfrm>
        <a:prstGeom prst="rect">
          <a:avLst/>
        </a:prstGeom>
      </xdr:spPr>
    </xdr:pic>
  </etc:cellImage>
  <etc:cellImage>
    <xdr:pic>
      <xdr:nvPicPr>
        <xdr:cNvPr id="625" name="ID_521CEA7196824D559AE390BA0ED41E60" descr="8809532221936"/>
        <xdr:cNvPicPr/>
      </xdr:nvPicPr>
      <xdr:blipFill>
        <a:blip r:embed="rId621"/>
        <a:stretch>
          <a:fillRect/>
        </a:stretch>
      </xdr:blipFill>
      <xdr:spPr>
        <a:xfrm>
          <a:off x="0" y="0"/>
          <a:ext cx="7239000" cy="8096250"/>
        </a:xfrm>
        <a:prstGeom prst="rect">
          <a:avLst/>
        </a:prstGeom>
      </xdr:spPr>
    </xdr:pic>
  </etc:cellImage>
  <etc:cellImage>
    <xdr:pic>
      <xdr:nvPicPr>
        <xdr:cNvPr id="626" name="ID_59A1F14811324BF3AF81158D21D8408C" descr="8809642483477"/>
        <xdr:cNvPicPr/>
      </xdr:nvPicPr>
      <xdr:blipFill>
        <a:blip r:embed="rId622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27" name="ID_56E174626580412AAD98E8460E55A959" descr="8809642485228"/>
        <xdr:cNvPicPr/>
      </xdr:nvPicPr>
      <xdr:blipFill>
        <a:blip r:embed="rId623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28" name="ID_4A2B5725B3094705A03E7540C61F6DD9" descr="8809642485563"/>
        <xdr:cNvPicPr/>
      </xdr:nvPicPr>
      <xdr:blipFill>
        <a:blip r:embed="rId624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29" name="ID_9E313E2A3B8E4535A99536F9EF45F69B" descr="8809525934782"/>
        <xdr:cNvPicPr/>
      </xdr:nvPicPr>
      <xdr:blipFill>
        <a:blip r:embed="rId625"/>
        <a:stretch>
          <a:fillRect/>
        </a:stretch>
      </xdr:blipFill>
      <xdr:spPr>
        <a:xfrm>
          <a:off x="0" y="0"/>
          <a:ext cx="5715000" cy="5715000"/>
        </a:xfrm>
        <a:prstGeom prst="rect">
          <a:avLst/>
        </a:prstGeom>
      </xdr:spPr>
    </xdr:pic>
  </etc:cellImage>
  <etc:cellImage>
    <xdr:pic>
      <xdr:nvPicPr>
        <xdr:cNvPr id="630" name="ID_51543D85C55B47B1A57F80B7863B23CB" descr="8809525935109"/>
        <xdr:cNvPicPr/>
      </xdr:nvPicPr>
      <xdr:blipFill>
        <a:blip r:embed="rId626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31" name="ID_518C3E1E6AF342288EE51F62F13CC82A" descr="8809525932740"/>
        <xdr:cNvPicPr/>
      </xdr:nvPicPr>
      <xdr:blipFill>
        <a:blip r:embed="rId627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632" name="ID_40ACCCA08D874F80985EAF902796156D" descr="8809525930531"/>
        <xdr:cNvPicPr/>
      </xdr:nvPicPr>
      <xdr:blipFill>
        <a:blip r:embed="rId628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33" name="ID_16E8540172EC4882BF6297EBF8610FF3" descr="RICE SHEET MASK 20ML (1EA) - RENEWAL"/>
        <xdr:cNvPicPr/>
      </xdr:nvPicPr>
      <xdr:blipFill>
        <a:blip r:embed="rId629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34" name="ID_C310E4F59ED647829AFEA6ADE67FD386" descr="8809525936274"/>
        <xdr:cNvPicPr/>
      </xdr:nvPicPr>
      <xdr:blipFill>
        <a:blip r:embed="rId630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35" name="ID_3D35E7407C0241A79EFC4367D193FB20" descr="8809187049428"/>
        <xdr:cNvPicPr/>
      </xdr:nvPicPr>
      <xdr:blipFill>
        <a:blip r:embed="rId631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636" name="ID_0D2DAD0F661B47D981B01C425371D85F" descr="8809800942587"/>
        <xdr:cNvPicPr/>
      </xdr:nvPicPr>
      <xdr:blipFill>
        <a:blip r:embed="rId632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637" name="ID_DAFD041C197E48C8BFE29149E65CC150" descr="8806135244911"/>
        <xdr:cNvPicPr/>
      </xdr:nvPicPr>
      <xdr:blipFill>
        <a:blip r:embed="rId633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638" name="ID_D5D2D81FCB4644DAA38A9B6EF5E2A669" descr="8809506708265"/>
        <xdr:cNvPicPr/>
      </xdr:nvPicPr>
      <xdr:blipFill>
        <a:blip r:embed="rId634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39" name="ID_CC7DFE8B99A74FECB79730D49EA69459" descr="8809506708272"/>
        <xdr:cNvPicPr/>
      </xdr:nvPicPr>
      <xdr:blipFill>
        <a:blip r:embed="rId635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40" name="ID_A2E4CC7582834DF6B482F99CF615BDB5" descr="8809506708289"/>
        <xdr:cNvPicPr/>
      </xdr:nvPicPr>
      <xdr:blipFill>
        <a:blip r:embed="rId63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41" name="ID_A8EC3146F04F49118CFD04263DD85D65" descr="8809506708302"/>
        <xdr:cNvPicPr/>
      </xdr:nvPicPr>
      <xdr:blipFill>
        <a:blip r:embed="rId637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642" name="ID_93AAA47333FE4048B0142B0AB91B63AD" descr="dc"/>
        <xdr:cNvPicPr/>
      </xdr:nvPicPr>
      <xdr:blipFill>
        <a:blip r:embed="rId638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43" name="ID_3389DB47475A4928BDDCDFC3D073E88A" descr="8809506708326"/>
        <xdr:cNvPicPr/>
      </xdr:nvPicPr>
      <xdr:blipFill>
        <a:blip r:embed="rId639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44" name="ID_B95974DB824342F4A8B806E27C8CE933" descr="8809506708333"/>
        <xdr:cNvPicPr/>
      </xdr:nvPicPr>
      <xdr:blipFill>
        <a:blip r:embed="rId640"/>
        <a:stretch>
          <a:fillRect/>
        </a:stretch>
      </xdr:blipFill>
      <xdr:spPr>
        <a:xfrm>
          <a:off x="0" y="0"/>
          <a:ext cx="7620000" cy="7620000"/>
        </a:xfrm>
        <a:prstGeom prst="rect">
          <a:avLst/>
        </a:prstGeom>
      </xdr:spPr>
    </xdr:pic>
  </etc:cellImage>
  <etc:cellImage>
    <xdr:pic>
      <xdr:nvPicPr>
        <xdr:cNvPr id="645" name="ID_EC76E71DB002415B9C2FA95DFC6B7E2A" descr="8809506707770"/>
        <xdr:cNvPicPr/>
      </xdr:nvPicPr>
      <xdr:blipFill>
        <a:blip r:embed="rId641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646" name="ID_8FD6271BE1AC45C89221E231BFD916AB" descr="8809506707787"/>
        <xdr:cNvPicPr/>
      </xdr:nvPicPr>
      <xdr:blipFill>
        <a:blip r:embed="rId64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47" name="ID_414E1E3793424CF6AA155273D0C0416B" descr="8809506707794"/>
        <xdr:cNvPicPr/>
      </xdr:nvPicPr>
      <xdr:blipFill>
        <a:blip r:embed="rId643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648" name="ID_3EACDD1A55D04873AAC639868AAEFBF8" descr="8809506707800"/>
        <xdr:cNvPicPr/>
      </xdr:nvPicPr>
      <xdr:blipFill>
        <a:blip r:embed="rId644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49" name="ID_BCD79CEEDB4C48FEAF8B6AB5945D3F15" descr="8809506707817"/>
        <xdr:cNvPicPr/>
      </xdr:nvPicPr>
      <xdr:blipFill>
        <a:blip r:embed="rId645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50" name="ID_D06E7E8F7F6448DCB6B451B19DABB223" descr="8809506707824"/>
        <xdr:cNvPicPr/>
      </xdr:nvPicPr>
      <xdr:blipFill>
        <a:blip r:embed="rId64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51" name="ID_AF72EA6474A44F0894430BF70440004B" descr="8809506707831"/>
        <xdr:cNvPicPr/>
      </xdr:nvPicPr>
      <xdr:blipFill>
        <a:blip r:embed="rId647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52" name="ID_2DA3C2DED8A54E239CF9FE7BA78FA6B9" descr="8809506707848"/>
        <xdr:cNvPicPr/>
      </xdr:nvPicPr>
      <xdr:blipFill>
        <a:blip r:embed="rId648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53" name="ID_EF82D49584B041B6A3AE001E508594FB" descr="8809506708241"/>
        <xdr:cNvPicPr/>
      </xdr:nvPicPr>
      <xdr:blipFill>
        <a:blip r:embed="rId649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54" name="ID_AD35D5773D4544A1B472EDCDB5E874F1" descr="ssssssssssssssssssssssssssssssssssssssssssssssssssssss"/>
        <xdr:cNvPicPr/>
      </xdr:nvPicPr>
      <xdr:blipFill>
        <a:blip r:embed="rId650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55" name="ID_C8C0678FE9B64675B150A09AE33FE2D6" descr="8809655952236"/>
        <xdr:cNvPicPr/>
      </xdr:nvPicPr>
      <xdr:blipFill>
        <a:blip r:embed="rId651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56" name="ID_E6C845E7E8124153AEFAD72ADA5BADE3" descr="8809572895210"/>
        <xdr:cNvPicPr/>
      </xdr:nvPicPr>
      <xdr:blipFill>
        <a:blip r:embed="rId652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57" name="ID_DBB86665DBDC4A209221E1D130BACACD" descr="8809912990025"/>
        <xdr:cNvPicPr/>
      </xdr:nvPicPr>
      <xdr:blipFill>
        <a:blip r:embed="rId653"/>
        <a:stretch>
          <a:fillRect/>
        </a:stretch>
      </xdr:blipFill>
      <xdr:spPr>
        <a:xfrm>
          <a:off x="0" y="0"/>
          <a:ext cx="5276850" cy="5276850"/>
        </a:xfrm>
        <a:prstGeom prst="rect">
          <a:avLst/>
        </a:prstGeom>
      </xdr:spPr>
    </xdr:pic>
  </etc:cellImage>
  <etc:cellImage>
    <xdr:pic>
      <xdr:nvPicPr>
        <xdr:cNvPr id="658" name="ID_FD9D9096AC90454696E55ADA73165026" descr="8809732910661"/>
        <xdr:cNvPicPr/>
      </xdr:nvPicPr>
      <xdr:blipFill>
        <a:blip r:embed="rId654"/>
        <a:stretch>
          <a:fillRect/>
        </a:stretch>
      </xdr:blipFill>
      <xdr:spPr>
        <a:xfrm>
          <a:off x="0" y="0"/>
          <a:ext cx="3962400" cy="3962400"/>
        </a:xfrm>
        <a:prstGeom prst="rect">
          <a:avLst/>
        </a:prstGeom>
      </xdr:spPr>
    </xdr:pic>
  </etc:cellImage>
  <etc:cellImage>
    <xdr:pic>
      <xdr:nvPicPr>
        <xdr:cNvPr id="659" name="ID_F495485FB5514F20BA5FDE15E289C6F9" descr="8809732912320"/>
        <xdr:cNvPicPr/>
      </xdr:nvPicPr>
      <xdr:blipFill>
        <a:blip r:embed="rId655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660" name="ID_17C8545BE6F440A98DBA85F41039522C" descr="8809732910289"/>
        <xdr:cNvPicPr/>
      </xdr:nvPicPr>
      <xdr:blipFill>
        <a:blip r:embed="rId656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61" name="ID_D26FC09290A441E68086254312D5EBDA" descr="8809840600331"/>
        <xdr:cNvPicPr/>
      </xdr:nvPicPr>
      <xdr:blipFill>
        <a:blip r:embed="rId657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62" name="ID_47C83322191B48438C9F3EF0755AAECB" descr="8809784602958"/>
        <xdr:cNvPicPr/>
      </xdr:nvPicPr>
      <xdr:blipFill>
        <a:blip r:embed="rId658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63" name="ID_0FFC1DBC4A104BF280FA775551E57B97" descr="8809784603955"/>
        <xdr:cNvPicPr/>
      </xdr:nvPicPr>
      <xdr:blipFill>
        <a:blip r:embed="rId659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64" name="ID_DC49D82B0A2A4E27AD790949067B05E3" descr="8809784600268"/>
        <xdr:cNvPicPr/>
      </xdr:nvPicPr>
      <xdr:blipFill>
        <a:blip r:embed="rId660"/>
        <a:stretch>
          <a:fillRect/>
        </a:stretch>
      </xdr:blipFill>
      <xdr:spPr>
        <a:xfrm>
          <a:off x="0" y="0"/>
          <a:ext cx="9525000" cy="9525000"/>
        </a:xfrm>
        <a:prstGeom prst="rect">
          <a:avLst/>
        </a:prstGeom>
      </xdr:spPr>
    </xdr:pic>
  </etc:cellImage>
  <etc:cellImage>
    <xdr:pic>
      <xdr:nvPicPr>
        <xdr:cNvPr id="665" name="ID_BC7D4CC4F88C4DF1A9443D654FF6E26A" descr="8809784602002"/>
        <xdr:cNvPicPr/>
      </xdr:nvPicPr>
      <xdr:blipFill>
        <a:blip r:embed="rId661"/>
        <a:stretch>
          <a:fillRect/>
        </a:stretch>
      </xdr:blipFill>
      <xdr:spPr>
        <a:xfrm>
          <a:off x="0" y="0"/>
          <a:ext cx="8572500" cy="8572500"/>
        </a:xfrm>
        <a:prstGeom prst="rect">
          <a:avLst/>
        </a:prstGeom>
      </xdr:spPr>
    </xdr:pic>
  </etc:cellImage>
  <etc:cellImage>
    <xdr:pic>
      <xdr:nvPicPr>
        <xdr:cNvPr id="666" name="ID_D5C40FEE44444B8C8FD305E309CB4DF9" descr="8809784601999"/>
        <xdr:cNvPicPr/>
      </xdr:nvPicPr>
      <xdr:blipFill>
        <a:blip r:embed="rId66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67" name="ID_C9A0F03405BB4FE68E3289C8203E87F2" descr="8809835060171s"/>
        <xdr:cNvPicPr/>
      </xdr:nvPicPr>
      <xdr:blipFill>
        <a:blip r:embed="rId663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668" name="ID_5EB02A31DB6F4174BD5B3888F7347CDE" descr="8809835060126"/>
        <xdr:cNvPicPr/>
      </xdr:nvPicPr>
      <xdr:blipFill>
        <a:blip r:embed="rId664"/>
        <a:stretch>
          <a:fillRect/>
        </a:stretch>
      </xdr:blipFill>
      <xdr:spPr>
        <a:xfrm>
          <a:off x="0" y="0"/>
          <a:ext cx="5238750" cy="5238750"/>
        </a:xfrm>
        <a:prstGeom prst="rect">
          <a:avLst/>
        </a:prstGeom>
      </xdr:spPr>
    </xdr:pic>
  </etc:cellImage>
  <etc:cellImage>
    <xdr:pic>
      <xdr:nvPicPr>
        <xdr:cNvPr id="669" name="ID_6C5208693AA8447D97BB42F7EAF06C20" descr="8809835060119"/>
        <xdr:cNvPicPr/>
      </xdr:nvPicPr>
      <xdr:blipFill>
        <a:blip r:embed="rId665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70" name="ID_BB456F37AC4F4CD392984E91D51C5364" descr="8809835060010"/>
        <xdr:cNvPicPr/>
      </xdr:nvPicPr>
      <xdr:blipFill>
        <a:blip r:embed="rId666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71" name="ID_D0C58B110D6F47A9A1104AACDC530BF1" descr="8809835060003"/>
        <xdr:cNvPicPr/>
      </xdr:nvPicPr>
      <xdr:blipFill>
        <a:blip r:embed="rId667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72" name="ID_D376211006434DDAA5803BEB427B4B9F" descr="8809934860870"/>
        <xdr:cNvPicPr/>
      </xdr:nvPicPr>
      <xdr:blipFill>
        <a:blip r:embed="rId668"/>
        <a:stretch>
          <a:fillRect/>
        </a:stretch>
      </xdr:blipFill>
      <xdr:spPr>
        <a:xfrm>
          <a:off x="0" y="0"/>
          <a:ext cx="4257675" cy="4257675"/>
        </a:xfrm>
        <a:prstGeom prst="rect">
          <a:avLst/>
        </a:prstGeom>
      </xdr:spPr>
    </xdr:pic>
  </etc:cellImage>
  <etc:cellImage>
    <xdr:pic>
      <xdr:nvPicPr>
        <xdr:cNvPr id="673" name="ID_748D0E2A622F4ABA97A432396FACBAC6" descr="8809613450323"/>
        <xdr:cNvPicPr/>
      </xdr:nvPicPr>
      <xdr:blipFill>
        <a:blip r:embed="rId669"/>
        <a:stretch>
          <a:fillRect/>
        </a:stretch>
      </xdr:blipFill>
      <xdr:spPr>
        <a:xfrm>
          <a:off x="0" y="0"/>
          <a:ext cx="10057765" cy="10057765"/>
        </a:xfrm>
        <a:prstGeom prst="rect">
          <a:avLst/>
        </a:prstGeom>
      </xdr:spPr>
    </xdr:pic>
  </etc:cellImage>
  <etc:cellImage>
    <xdr:pic>
      <xdr:nvPicPr>
        <xdr:cNvPr id="674" name="ID_BD5CF5A60FF44F54A729848F296CB2A9" descr="8809613450286"/>
        <xdr:cNvPicPr/>
      </xdr:nvPicPr>
      <xdr:blipFill>
        <a:blip r:embed="rId670"/>
        <a:stretch>
          <a:fillRect/>
        </a:stretch>
      </xdr:blipFill>
      <xdr:spPr>
        <a:xfrm>
          <a:off x="0" y="0"/>
          <a:ext cx="2143125" cy="2143125"/>
        </a:xfrm>
        <a:prstGeom prst="rect">
          <a:avLst/>
        </a:prstGeom>
      </xdr:spPr>
    </xdr:pic>
  </etc:cellImage>
  <etc:cellImage>
    <xdr:pic>
      <xdr:nvPicPr>
        <xdr:cNvPr id="675" name="ID_32EECCE9EB2648BBB2AC41C1C83864EA" descr="8800253022383"/>
        <xdr:cNvPicPr/>
      </xdr:nvPicPr>
      <xdr:blipFill>
        <a:blip r:embed="rId671"/>
        <a:stretch>
          <a:fillRect/>
        </a:stretch>
      </xdr:blipFill>
      <xdr:spPr>
        <a:xfrm>
          <a:off x="0" y="0"/>
          <a:ext cx="6467475" cy="6467475"/>
        </a:xfrm>
        <a:prstGeom prst="rect">
          <a:avLst/>
        </a:prstGeom>
      </xdr:spPr>
    </xdr:pic>
  </etc:cellImage>
</etc:cellImages>
</file>

<file path=xl/comments1.xml><?xml version="1.0" encoding="utf-8"?>
<comments xmlns="http://schemas.openxmlformats.org/spreadsheetml/2006/main">
  <authors>
    <author>Byjin PC</author>
    <author>admin</author>
    <author>PC</author>
  </authors>
  <commentList>
    <comment ref="F6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ROJA
</t>
        </r>
      </text>
    </comment>
    <comment ref="F47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hada
</t>
        </r>
      </text>
    </comment>
    <comment ref="F48" authorId="0">
      <text>
        <r>
          <rPr>
            <b/>
            <sz val="9"/>
            <rFont val="SimSun"/>
            <charset val="134"/>
          </rPr>
          <t>Byjin PC:hada</t>
        </r>
      </text>
    </comment>
    <comment ref="F49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beauty key</t>
        </r>
      </text>
    </comment>
    <comment ref="F5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5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52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Dubai beauty</t>
        </r>
      </text>
    </comment>
    <comment ref="F66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B</t>
        </r>
      </text>
    </comment>
    <comment ref="F7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7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72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7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wwt</t>
        </r>
      </text>
    </comment>
    <comment ref="F82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84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roseline</t>
        </r>
      </text>
    </comment>
    <comment ref="F85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86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KHM</t>
        </r>
      </text>
    </comment>
    <comment ref="F88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b</t>
        </r>
      </text>
    </comment>
    <comment ref="F9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bx</t>
        </r>
      </text>
    </comment>
    <comment ref="F92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</t>
        </r>
      </text>
    </comment>
    <comment ref="F96" authorId="0">
      <text>
        <r>
          <rPr>
            <sz val="9"/>
            <rFont val="SimSun"/>
            <charset val="134"/>
          </rPr>
          <t>office</t>
        </r>
      </text>
    </comment>
    <comment ref="F9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bx</t>
        </r>
      </text>
    </comment>
    <comment ref="F105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114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bx</t>
        </r>
      </text>
    </comment>
    <comment ref="F12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168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16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bx</t>
        </r>
      </text>
    </comment>
    <comment ref="F173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174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</t>
        </r>
      </text>
    </comment>
    <comment ref="F175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bx</t>
        </r>
      </text>
    </comment>
    <comment ref="F176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hada
</t>
        </r>
      </text>
    </comment>
    <comment ref="F177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178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haidar</t>
        </r>
      </text>
    </comment>
    <comment ref="F17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MAHA</t>
        </r>
      </text>
    </comment>
    <comment ref="F18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roja</t>
        </r>
      </text>
    </comment>
    <comment ref="F18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MAHA</t>
        </r>
      </text>
    </comment>
    <comment ref="F185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Noor Almani trd
</t>
        </r>
      </text>
    </comment>
    <comment ref="F19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gml</t>
        </r>
      </text>
    </comment>
    <comment ref="F19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fresh face</t>
        </r>
      </text>
    </comment>
    <comment ref="F194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glam house</t>
        </r>
      </text>
    </comment>
    <comment ref="F195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gh</t>
        </r>
      </text>
    </comment>
    <comment ref="F196" authorId="0">
      <text>
        <r>
          <rPr>
            <b/>
            <sz val="9"/>
            <rFont val="SimSun"/>
            <charset val="134"/>
          </rPr>
          <t xml:space="preserve">Byji
</t>
        </r>
        <r>
          <rPr>
            <sz val="9"/>
            <rFont val="SimSun"/>
            <charset val="134"/>
          </rPr>
          <t>AIMR</t>
        </r>
      </text>
    </comment>
    <comment ref="F19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roseline  hada</t>
        </r>
      </text>
    </comment>
    <comment ref="F20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roseline</t>
        </r>
      </text>
    </comment>
    <comment ref="F20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</t>
        </r>
      </text>
    </comment>
    <comment ref="F24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roseline</t>
        </r>
      </text>
    </comment>
    <comment ref="F242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roseline
</t>
        </r>
      </text>
    </comment>
    <comment ref="F243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45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</t>
        </r>
      </text>
    </comment>
    <comment ref="F247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48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4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5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</t>
        </r>
      </text>
    </comment>
    <comment ref="F251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roseline</t>
        </r>
      </text>
    </comment>
    <comment ref="F252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awh</t>
        </r>
      </text>
    </comment>
    <comment ref="F253" authorId="0">
      <text>
        <r>
          <rPr>
            <b/>
            <sz val="9"/>
            <rFont val="SimSun"/>
            <charset val="134"/>
          </rPr>
          <t>Byjin PC:awh</t>
        </r>
      </text>
    </comment>
    <comment ref="F254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BX
</t>
        </r>
      </text>
    </comment>
    <comment ref="F255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56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beauty island</t>
        </r>
      </text>
    </comment>
    <comment ref="F257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GH</t>
        </r>
      </text>
    </comment>
    <comment ref="F258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6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6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gml</t>
        </r>
      </text>
    </comment>
    <comment ref="F262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B</t>
        </r>
      </text>
    </comment>
    <comment ref="F263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ROSE LINE</t>
        </r>
      </text>
    </comment>
    <comment ref="F265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66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6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73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74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mudassar</t>
        </r>
      </text>
    </comment>
    <comment ref="F276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zia
</t>
        </r>
      </text>
    </comment>
    <comment ref="F28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292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awh
</t>
        </r>
      </text>
    </comment>
    <comment ref="F294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MAH</t>
        </r>
      </text>
    </comment>
    <comment ref="F295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MAHA</t>
        </r>
      </text>
    </comment>
    <comment ref="F31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
</t>
        </r>
      </text>
    </comment>
    <comment ref="F372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B</t>
        </r>
      </text>
    </comment>
    <comment ref="F377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b</t>
        </r>
      </text>
    </comment>
    <comment ref="F380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roja</t>
        </r>
      </text>
    </comment>
    <comment ref="F38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382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roseline
</t>
        </r>
      </text>
    </comment>
    <comment ref="F383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mudassar</t>
        </r>
      </text>
    </comment>
    <comment ref="F384" authorId="2">
      <text>
        <r>
          <rPr>
            <b/>
            <sz val="9"/>
            <rFont val="SimSun"/>
            <charset val="134"/>
          </rPr>
          <t>PC:</t>
        </r>
        <r>
          <rPr>
            <sz val="9"/>
            <rFont val="SimSun"/>
            <charset val="134"/>
          </rPr>
          <t xml:space="preserve">
B</t>
        </r>
      </text>
    </comment>
    <comment ref="F385" authorId="0">
      <text>
        <r>
          <rPr>
            <b/>
            <sz val="9"/>
            <rFont val="SimSun"/>
            <charset val="134"/>
          </rPr>
          <t xml:space="preserve">Byjin PC:b
</t>
        </r>
      </text>
    </comment>
    <comment ref="F387" authorId="0">
      <text>
        <r>
          <rPr>
            <b/>
            <sz val="9"/>
            <rFont val="SimSun"/>
            <charset val="134"/>
          </rPr>
          <t>Byjin PC:
hada farooq</t>
        </r>
      </text>
    </comment>
    <comment ref="F388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hada   farooq</t>
        </r>
      </text>
    </comment>
    <comment ref="F38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gml</t>
        </r>
      </text>
    </comment>
    <comment ref="F391" authorId="0">
      <text>
        <r>
          <rPr>
            <b/>
            <sz val="9"/>
            <rFont val="SimSun"/>
            <charset val="134"/>
          </rPr>
          <t xml:space="preserve">Byjin PC:
b
</t>
        </r>
      </text>
    </comment>
    <comment ref="F392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BEAUTY ISLAND</t>
        </r>
      </text>
    </comment>
    <comment ref="F393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BEAUTY ISLAND</t>
        </r>
      </text>
    </comment>
    <comment ref="F394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LUSH LOOK</t>
        </r>
      </text>
    </comment>
    <comment ref="F395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B
</t>
        </r>
      </text>
    </comment>
    <comment ref="F396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beauty island</t>
        </r>
      </text>
    </comment>
    <comment ref="F397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</t>
        </r>
      </text>
    </comment>
    <comment ref="F398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 I</t>
        </r>
      </text>
    </comment>
    <comment ref="F399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BI</t>
        </r>
      </text>
    </comment>
    <comment ref="F401" authorId="0">
      <text>
        <r>
          <rPr>
            <b/>
            <sz val="9"/>
            <rFont val="SimSun"/>
            <charset val="134"/>
          </rPr>
          <t>Byjin PC:</t>
        </r>
        <r>
          <rPr>
            <sz val="9"/>
            <rFont val="SimSun"/>
            <charset val="134"/>
          </rPr>
          <t xml:space="preserve">
BI</t>
        </r>
      </text>
    </comment>
    <comment ref="F403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awh
</t>
        </r>
      </text>
    </comment>
    <comment ref="F406" authorId="1">
      <text>
        <r>
          <rPr>
            <b/>
            <sz val="9"/>
            <rFont val="SimSun"/>
            <charset val="134"/>
          </rPr>
          <t>admin:</t>
        </r>
        <r>
          <rPr>
            <sz val="9"/>
            <rFont val="SimSun"/>
            <charset val="134"/>
          </rPr>
          <t xml:space="preserve">
ANABIYA</t>
        </r>
      </text>
    </comment>
  </commentList>
</comments>
</file>

<file path=xl/sharedStrings.xml><?xml version="1.0" encoding="utf-8"?>
<sst xmlns="http://schemas.openxmlformats.org/spreadsheetml/2006/main" count="1827" uniqueCount="1495">
  <si>
    <t>item</t>
  </si>
  <si>
    <t>parcode</t>
  </si>
  <si>
    <t>made in</t>
  </si>
  <si>
    <t>PICTURE</t>
  </si>
  <si>
    <t>CTN SIZE</t>
  </si>
  <si>
    <t>cost</t>
  </si>
  <si>
    <t>电商smaeer EXW DUBAI  
PRICE-AED     
（carton price）</t>
  </si>
  <si>
    <t>EXW DUBAI  
PRICE-AED     
（carton price）</t>
  </si>
  <si>
    <t>EXW DUBAI  
PRICE-AED     
（dozen price）</t>
  </si>
  <si>
    <t>FINO</t>
  </si>
  <si>
    <t>FINO High-Penetration Hair Conditioning Mask 230g</t>
  </si>
  <si>
    <t>4550516493583</t>
  </si>
  <si>
    <t>japan</t>
  </si>
  <si>
    <t xml:space="preserve">FINO Beauty Complex Essence Shampoo 550ml </t>
  </si>
  <si>
    <t>4550516475961</t>
  </si>
  <si>
    <t>FINO Beauty Complex Essence Conditioner 550ml</t>
  </si>
  <si>
    <t>4550516476074</t>
  </si>
  <si>
    <t>FINO Hair Essential Oil 70ml (Oil) FTS</t>
  </si>
  <si>
    <t>4901872471997</t>
  </si>
  <si>
    <t>TSUBAKI</t>
  </si>
  <si>
    <t>TSUBAKI CONDITIONER BLACK</t>
  </si>
  <si>
    <t>4550516474155</t>
  </si>
  <si>
    <t>TSUBAKI SHAMPOO BLACK</t>
  </si>
  <si>
    <t>4550516474087</t>
  </si>
  <si>
    <t>Tsubaki Premium Moist &amp; Repair Conditioner 450ml red</t>
  </si>
  <si>
    <t>4550516485250</t>
  </si>
  <si>
    <t>Tsubaki Premium Moist &amp; Repair Shampoo 450ml.red</t>
  </si>
  <si>
    <t>4550516485236</t>
  </si>
  <si>
    <t>TSUBAKI SHAMPOO YELLOW NEW</t>
  </si>
  <si>
    <t>4550516485410</t>
  </si>
  <si>
    <t>TSUBAKI CONDITIONER YELLOW NEW</t>
  </si>
  <si>
    <t>4550516485632</t>
  </si>
  <si>
    <t>Tsubaki Premium Repair Mask – Pink MASK</t>
  </si>
  <si>
    <t>4550516711106</t>
  </si>
  <si>
    <t>Tsubaki Premium Repair Mask Hair Pack 180g</t>
  </si>
  <si>
    <t>4550516491190</t>
  </si>
  <si>
    <t>Honey</t>
  </si>
  <si>
    <t>honey color control HAIR MILK 160ml</t>
  </si>
  <si>
    <t>4589546897559</t>
  </si>
  <si>
    <t>Honey Color Protection Conditioner for Permed and Dyed Hair 445g</t>
  </si>
  <si>
    <t>4589546896774</t>
  </si>
  <si>
    <t>Honey Color Protection Hair Oil for Permed and Dyed Hair 100ml</t>
  </si>
  <si>
    <t>4589546896804</t>
  </si>
  <si>
    <t>Honey Color Protection Shampoo for Permed and Dyed Hair 440ml</t>
  </si>
  <si>
    <t>4589546896767</t>
  </si>
  <si>
    <t>Honey Deep Moisturizing Sakura Hair Oil 100ml</t>
  </si>
  <si>
    <t>4589546891328</t>
  </si>
  <si>
    <t>Honey Deep Moisturizing Sakura Shampoo 440ml</t>
  </si>
  <si>
    <t>4589546891298</t>
  </si>
  <si>
    <t>Honey Fleur Hair Shampoo 450ml</t>
  </si>
  <si>
    <t>4589546895029</t>
  </si>
  <si>
    <t>Honey Fleur Hair Treatment 450ml</t>
  </si>
  <si>
    <t>4589546895036</t>
  </si>
  <si>
    <t>honey Melty Moist Gel Body Wash 500mi</t>
  </si>
  <si>
    <t>4589546895739</t>
  </si>
  <si>
    <t>Honey milky EX repair HAIR milk 180g</t>
  </si>
  <si>
    <t>4589546897177</t>
  </si>
  <si>
    <t>Honey milky EX repair HAIR OIL 105ml</t>
  </si>
  <si>
    <t>4589546897184</t>
  </si>
  <si>
    <t>Honey Millky Precious EX Repair treatment 500g</t>
  </si>
  <si>
    <t>4589546897139</t>
  </si>
  <si>
    <t>Honey PIXIE Moist silky shampoo 440ml</t>
  </si>
  <si>
    <t>4589546896019</t>
  </si>
  <si>
    <t>honey Sabon Blue Clay Cleansing Balm90g</t>
  </si>
  <si>
    <t>4589546894886</t>
  </si>
  <si>
    <t>honey Sabon Clear Gel Body Wash Emerald Sabon Honey 500ml</t>
  </si>
  <si>
    <t>4589546896507</t>
  </si>
  <si>
    <t>Honey skin care Cleansing Balm Moist</t>
  </si>
  <si>
    <t>4589546893643</t>
  </si>
  <si>
    <t>KARSEELL</t>
  </si>
  <si>
    <t>Karseell - Maca Essence Repair Hair Mask - 500 ml</t>
  </si>
  <si>
    <t>4897110030180</t>
  </si>
  <si>
    <t>KARSEELL COLOR DEPOSITING BROWN HAIR MASK 500ML</t>
  </si>
  <si>
    <t>4897110031903</t>
  </si>
  <si>
    <t>karseell Maca Essential Oil for Damaged Skin and Hair - 50 ml</t>
  </si>
  <si>
    <t>4897110030548</t>
  </si>
  <si>
    <t>Nizoral</t>
  </si>
  <si>
    <t>Nizoral Shampoo Against Dandruff &amp; Seborrheic Dermatitis - 100 ml</t>
  </si>
  <si>
    <t>06297000859002</t>
  </si>
  <si>
    <t>Germany</t>
  </si>
  <si>
    <t>A313</t>
  </si>
  <si>
    <t>A313 Vitamin A Retinol Cream  50g</t>
  </si>
  <si>
    <t>3760245852013</t>
  </si>
  <si>
    <t>france</t>
  </si>
  <si>
    <t>Abib</t>
  </si>
  <si>
    <t>Abib - Glutathiosome Dark Spot Serum Vita Drop 50ml </t>
  </si>
  <si>
    <t>8809562558514</t>
  </si>
  <si>
    <t>korea</t>
  </si>
  <si>
    <t>Abib - Glutathiosome Dark Spot Pad Vita Touch 220ml</t>
  </si>
  <si>
    <t>8809562558477</t>
  </si>
  <si>
    <t>HEARTLEAF CALMING TONER SKIN BOOSTER 200ML</t>
  </si>
  <si>
    <t>8809657118012</t>
  </si>
  <si>
    <t>HEARTLEAF TECA CAPSULE SERUM CALMING DROP 50ML</t>
  </si>
  <si>
    <t>8809562559214</t>
  </si>
  <si>
    <t>JERICHO ROSE BIFIDA SERUM FIRMING DROP 50ML</t>
  </si>
  <si>
    <t>8809292443197</t>
  </si>
  <si>
    <t>MILD ACIDIC PH SHEET MASK AQUA FIT 30ML</t>
  </si>
  <si>
    <t>8809030733368</t>
  </si>
  <si>
    <t>ACM</t>
  </si>
  <si>
    <t>ACM SOAP 100g</t>
  </si>
  <si>
    <t>3760095253282</t>
  </si>
  <si>
    <t>ANUA</t>
  </si>
  <si>
    <t>NIACINAMIDE 10% + TXA 4% SERUM 30ML</t>
  </si>
  <si>
    <t>8809640734526</t>
  </si>
  <si>
    <t>AZELAIC HYALURON SOOTHING SERUM 30ML</t>
  </si>
  <si>
    <t>8809640737190</t>
  </si>
  <si>
    <t>PDR Hyaluronic Acid Moisture Capsule Mist 30mL</t>
  </si>
  <si>
    <t>8800307374390</t>
  </si>
  <si>
    <t>Anua PDR Hyaluronic Acid Moisture Capsule Mist 100mL</t>
  </si>
  <si>
    <t>8800307373331</t>
  </si>
  <si>
    <t>ANUA RICE 70 INTENSIVE MOISTURIZING MILK 15OML</t>
  </si>
  <si>
    <t>8809640735608</t>
  </si>
  <si>
    <t>HEARTLEAF QUERCETINOL CLEANSING FOAM 150ML</t>
  </si>
  <si>
    <t>8809640734427</t>
  </si>
  <si>
    <t>19.5-20</t>
  </si>
  <si>
    <t>Anua Heartleaf Cream Mask Night Solution Pack</t>
  </si>
  <si>
    <t>8809640730658</t>
  </si>
  <si>
    <t>Anua Green Lemon Vita C Blemish Serum Mask (25ml</t>
  </si>
  <si>
    <t>8809640733628</t>
  </si>
  <si>
    <t>Anua 80+Heartleaf Moisture Soothing Ampoule Mask - 27 ml </t>
  </si>
  <si>
    <t>8809640732508</t>
  </si>
  <si>
    <t>AZELAIC 10 HYALURON REDNESS SOOTHING PAD 230ML (90EA)</t>
  </si>
  <si>
    <t>8809640738227</t>
  </si>
  <si>
    <t>HEARTLEAF 70% SOOTHING CREAM 100ML</t>
  </si>
  <si>
    <t>8809640731587</t>
  </si>
  <si>
    <t>HEARTLEAF 80 SOOTHING AMPOULE 30ML</t>
  </si>
  <si>
    <t>8809640730283</t>
  </si>
  <si>
    <t>HEARTLEAF CENTELLA RED SPOT CREAM 30G</t>
  </si>
  <si>
    <t>8809640738197</t>
  </si>
  <si>
    <t>PDRN HYALURONIC ACID CAPSULE 100 SERUM MASK 23ML (1EA)</t>
  </si>
  <si>
    <t>8800307374710</t>
  </si>
  <si>
    <t>RETINOL 0.3 + NIACIN RENEWING SERUM 30ML</t>
  </si>
  <si>
    <t>8809640734595</t>
  </si>
  <si>
    <t xml:space="preserve">ARENCIA </t>
  </si>
  <si>
    <t>ARENCIA Black Tea &amp; Yuzu Rice Mochi Cleanser 120g</t>
  </si>
  <si>
    <t>8809562191834</t>
  </si>
  <si>
    <t>ARENCIA Fresh Blue Hyssop Rice Mochi Cleanser 120g</t>
  </si>
  <si>
    <t>8809562191810</t>
  </si>
  <si>
    <t>ARENCIA Calendula Rice Mochi Cleanser 120g</t>
  </si>
  <si>
    <t>8809562191827</t>
  </si>
  <si>
    <t>ARENCIA Fresh Royal Rosehip Cleanser 120g</t>
  </si>
  <si>
    <t>8809562190745</t>
  </si>
  <si>
    <t>ARENCIA L'aromatique Calendula Cleanser 120g </t>
  </si>
  <si>
    <t>8809562191438</t>
  </si>
  <si>
    <t>ARENCIA Rice Mucin Cleanser 120g </t>
  </si>
  <si>
    <t>8809562191674</t>
  </si>
  <si>
    <t>ARENCIA Fresh Rosehip Rice Mochi Cleanser 120g </t>
  </si>
  <si>
    <t>8809562191803</t>
  </si>
  <si>
    <t>ARENCIA Fresh Red Smoothie Serum 30 50g</t>
  </si>
  <si>
    <t>8809562191889</t>
  </si>
  <si>
    <t>ARENCIA Fresh Red Smoothie Serum 8 30ML</t>
  </si>
  <si>
    <t>8809562191735</t>
  </si>
  <si>
    <t>ARENCIA Holy Hyssop Serum 30 50g</t>
  </si>
  <si>
    <t>8809562190820</t>
  </si>
  <si>
    <t>ARENCIA TXA Booster Shot 30ml</t>
  </si>
  <si>
    <t>8809562193326</t>
  </si>
  <si>
    <t>Arencia Eraser Shot Glycolic Acid Booster 30ml</t>
  </si>
  <si>
    <t>8809562193302</t>
  </si>
  <si>
    <t>Arencia - NAD+ Booster Shot 30ml</t>
  </si>
  <si>
    <t>8809562193487</t>
  </si>
  <si>
    <t>Arencia PDRN BOOSTER SHOT</t>
  </si>
  <si>
    <t>8809562193173</t>
  </si>
  <si>
    <t>Arencia Retinal Booster Shot</t>
  </si>
  <si>
    <t>8809562192763</t>
  </si>
  <si>
    <t>Arencia Vitamin C Booster Serum</t>
  </si>
  <si>
    <t>8809562192770</t>
  </si>
  <si>
    <t>HYSSOP FUME BALM 30G</t>
  </si>
  <si>
    <t>8809562191513</t>
  </si>
  <si>
    <t>RICE MUCIN GLOW SERUM 30ML</t>
  </si>
  <si>
    <t>8809562191742</t>
  </si>
  <si>
    <t>BIODANCE</t>
  </si>
  <si>
    <t>BIODANCE-BIO-COLLAGEN REAL DEEP MASK 4ea</t>
  </si>
  <si>
    <t>8809937360834</t>
  </si>
  <si>
    <t xml:space="preserve">Biodance Radiant Vita Niacinamide Real Deep Mask </t>
  </si>
  <si>
    <t>8809937361466</t>
  </si>
  <si>
    <t>Biodance CAVIAR PDRN REAL DEEP MASK 34G</t>
  </si>
  <si>
    <t>8809891184606</t>
  </si>
  <si>
    <t>Biodance HYDRO CERA-NOL  REAL DEEP MASK 34G</t>
  </si>
  <si>
    <t>8809937360629</t>
  </si>
  <si>
    <t>CERA-NOL GEL TONER PADS (60PADS)</t>
  </si>
  <si>
    <t>8809937361206</t>
  </si>
  <si>
    <t>COLLAGEN GEL TONER PADS (60PADS)</t>
  </si>
  <si>
    <t>8809937361190</t>
  </si>
  <si>
    <t>HYDRO CERA-NOL REAL DEEP MASK 34G (4EA)</t>
  </si>
  <si>
    <t>8809937360971</t>
  </si>
  <si>
    <t>MICRO DUAL SERUM TONER 150ML</t>
  </si>
  <si>
    <t>8809937360483</t>
  </si>
  <si>
    <t>PORE PERFECTING COLLAGEN PEPTIDE CREAM 50ML</t>
  </si>
  <si>
    <t>8809891184330</t>
  </si>
  <si>
    <t>SEA KELP GEL TONER PADS (60PADS)</t>
  </si>
  <si>
    <t>8809891183678</t>
  </si>
  <si>
    <t>SKIN REFINING MILD PHA TONER 150ML</t>
  </si>
  <si>
    <t>8809937360230</t>
  </si>
  <si>
    <t>VITA NIACINAMIDE GEL TONER PADS (60PADS)</t>
  </si>
  <si>
    <t>8809891183685</t>
  </si>
  <si>
    <t>CELIMAX</t>
  </si>
  <si>
    <t>celimax NONI Acne Bubble Cleanser 155ml </t>
  </si>
  <si>
    <t>8809463993223</t>
  </si>
  <si>
    <t>Celimax Noni Moisture Balancing Toner 150ml</t>
  </si>
  <si>
    <t>8809954940132</t>
  </si>
  <si>
    <t>celimax proe+dark spot brightening pad 40PCS</t>
  </si>
  <si>
    <t>8809743546323</t>
  </si>
  <si>
    <t>Celimax Pore +Dark Spot Brightening Cream 35ML</t>
  </si>
  <si>
    <t>8809971484503</t>
  </si>
  <si>
    <t>Celimax Pore + Dark Spot Brightening Serum 30ml</t>
  </si>
  <si>
    <t>8809875907412</t>
  </si>
  <si>
    <t>The Real Noni Energy Repair Cream - 50ml</t>
  </si>
  <si>
    <t>8809686386185</t>
  </si>
  <si>
    <t>celimax The VITA-A Retinol Shot Tightening Booster 15ml</t>
  </si>
  <si>
    <t>8809700320812</t>
  </si>
  <si>
    <t>CELIMAX Retinol Shot Tightening Serum 30ml</t>
  </si>
  <si>
    <t>8809700320805</t>
  </si>
  <si>
    <t>BAKING SODA DEEP PORE JI WOO GAE FOAM CLEANSING 150ML</t>
  </si>
  <si>
    <t>8809626562921</t>
  </si>
  <si>
    <t>DERMA NATURE RELIEF MADECICA PH BALANCING FOAM CLEANSING 150ML RENEW</t>
  </si>
  <si>
    <t>8809975194439</t>
  </si>
  <si>
    <t>DUAL BARRIER CREAMY TONER 150ML</t>
  </si>
  <si>
    <t>8809606850475</t>
  </si>
  <si>
    <t>DUAL BARRIER MILD GEL CLEANSER 200ML</t>
  </si>
  <si>
    <t>8809606850499</t>
  </si>
  <si>
    <t>DUAL BARRIER PURIFYING CLEANSING BALM [REFILL] 50ML</t>
  </si>
  <si>
    <t>8809606852585</t>
  </si>
  <si>
    <t>DUAL BARRIER SKIN WEARABLE CREAM 50ML</t>
  </si>
  <si>
    <t>8809606850505</t>
  </si>
  <si>
    <t>JI WOO GAE CICA BHA ACNE FOAM CLEANSING 150ML</t>
  </si>
  <si>
    <t>8809783324097</t>
  </si>
  <si>
    <t>PORE+DARK SPOT BRIGHTENING CARE SUNSCREEN 50ML</t>
  </si>
  <si>
    <t>8809971484510</t>
  </si>
  <si>
    <t>PORE+DARK SPOT BRIGHTENING CREAM MASK (4EA)</t>
  </si>
  <si>
    <t>8800296551567</t>
  </si>
  <si>
    <t>THE REAL NONI ENERGY AMPOULE 30ML</t>
  </si>
  <si>
    <t>8809875907795</t>
  </si>
  <si>
    <t>THE REAL NONI ULTIMATE EYE CREAM 20ML</t>
  </si>
  <si>
    <t>8809606850666</t>
  </si>
  <si>
    <t>CENTALLIAN24</t>
  </si>
  <si>
    <t>CENTALLIAN24 Madeca Cream TimeReverse 50ml - CICA Anti-Aging</t>
  </si>
  <si>
    <t>8806109101257</t>
  </si>
  <si>
    <t>Centella SKIN1004</t>
  </si>
  <si>
    <t>Centella Light Gel Cream</t>
  </si>
  <si>
    <t>8809576261646</t>
  </si>
  <si>
    <t>CENTELLA PROBIO CICA INTENSIVE AMPOULE 50ML</t>
  </si>
  <si>
    <t>8809576261752</t>
  </si>
  <si>
    <t>CENTELLA CLAY STICK 27G</t>
  </si>
  <si>
    <t>8809913830085</t>
  </si>
  <si>
    <t>MADAGASCAR CENTELLA HYALU CICA SILKY FIT SUN STICK 20G</t>
  </si>
  <si>
    <t>8809913830214</t>
  </si>
  <si>
    <t>MADAGASCAR CENTELLA PROBIO CICA BAKUCHIOL EYE CREAM 20ML</t>
  </si>
  <si>
    <t>8809913830177</t>
  </si>
  <si>
    <t>MADAGASCAR CENTELLA CREAM 75ML</t>
  </si>
  <si>
    <t>8809576260441</t>
  </si>
  <si>
    <t>CENTELLA WATER SUN SERUM</t>
  </si>
  <si>
    <t>8809576261592</t>
  </si>
  <si>
    <t>Centella Tone Brightening Boosting Toner 210ml</t>
  </si>
  <si>
    <t>8809576261165</t>
  </si>
  <si>
    <t>MADAGASCAR CENTELLA TONING TONER 210ML</t>
  </si>
  <si>
    <t>8809576261141</t>
  </si>
  <si>
    <t>CENTELLA - MADAGSCAR TONE BRIGHTHING CAPSULE AMPOULE 100ML</t>
  </si>
  <si>
    <t>8809576261172</t>
  </si>
  <si>
    <t>Centella Tone Brightenning Cleansing Gel Foam 125ml</t>
  </si>
  <si>
    <t>8809576261189</t>
  </si>
  <si>
    <t>MADAGASCAR CENTELLA AMPOULE 100ML</t>
  </si>
  <si>
    <t>8809576260663</t>
  </si>
  <si>
    <t>CENTELLA TONE BRIGHTENING CAPSULE CREAM 75ML</t>
  </si>
  <si>
    <t>8809576261615</t>
  </si>
  <si>
    <t>MADAGASCAR CENTELLA AIR FIT SUNCREAM LIGHT 50ML</t>
  </si>
  <si>
    <t>8809576261608</t>
  </si>
  <si>
    <t>CENTELLA CAPSUEL AMPOULE 50ML</t>
  </si>
  <si>
    <t>8809913830627</t>
  </si>
  <si>
    <t>Centella Poremizing Fresh Ampoule 100ml</t>
  </si>
  <si>
    <t>8809576261462</t>
  </si>
  <si>
    <t>CENTELLA TEA TRICA SPOT CREAM 20ML</t>
  </si>
  <si>
    <t>8809913830337</t>
  </si>
  <si>
    <t>centella tone brighting glow mask 25ml</t>
  </si>
  <si>
    <t>8809913830931</t>
  </si>
  <si>
    <t>centellaporemizing clarifying mask 25ml</t>
  </si>
  <si>
    <t>8809913831310</t>
  </si>
  <si>
    <t>Centella Watergel Sheet Ampoule Mask</t>
  </si>
  <si>
    <t>8809576260496</t>
  </si>
  <si>
    <t>CENTELLA LIGHT CLEANSING OIL 200ml</t>
  </si>
  <si>
    <t>8809576261110</t>
  </si>
  <si>
    <t>SKIN1004 MADAGASCAR CENTELLA AMPOULE 55ml</t>
  </si>
  <si>
    <t>8809576260601</t>
  </si>
  <si>
    <t>SKIN1004 MADAGASCAR CENTELLA POREMIZING DEEP CLEANSING FOAM 125ml</t>
  </si>
  <si>
    <t>8809576261653</t>
  </si>
  <si>
    <t>SKIN1004 Madagascar Centella Probio-Cica Enrich 15ml</t>
  </si>
  <si>
    <t>8809913830245</t>
  </si>
  <si>
    <t>SKIN1004 CENTELLA PROBIO ENRICH CREAM 50ML</t>
  </si>
  <si>
    <t>8809576261769</t>
  </si>
  <si>
    <t>SKIN1004 MADAGASCAR CENTELLA PROBIO-CICA ESSENCE TONER 210ml</t>
  </si>
  <si>
    <t>8809576261738</t>
  </si>
  <si>
    <t>Skin1004 Madagascar Centella Quick Calming Pad (70)</t>
  </si>
  <si>
    <t>8809576261387</t>
  </si>
  <si>
    <t>SKIN1004 MADAGASCAR CENTELLA TONING TONER 400ml</t>
  </si>
  <si>
    <t>8809576261158</t>
  </si>
  <si>
    <t>SKIN1004-Madagascar Centela Tea-Trica Bha Foam 125ml</t>
  </si>
  <si>
    <t>8809576261714</t>
  </si>
  <si>
    <t>SKIN1004-Madagascar Centella Ampoule Foam 125ml</t>
  </si>
  <si>
    <t>8809576261127</t>
  </si>
  <si>
    <t>SKIN1004-Madagascar Centella Hyalu-Cica Cloudy Mist 120ml</t>
  </si>
  <si>
    <t>8809913830191</t>
  </si>
  <si>
    <t>SKIN1004-Madagascar Centella Hyalu-Cica First Ampoule 100ml</t>
  </si>
  <si>
    <t>8809576261486</t>
  </si>
  <si>
    <t>SKIN1004-Madagascar Centella Tea-Trica B5 Cream 75ml</t>
  </si>
  <si>
    <t>8809913830047</t>
  </si>
  <si>
    <t>SKIN1004-Madagascar Centella Tea-Trica Relief Ampoule 100ml</t>
  </si>
  <si>
    <t>8809576261677</t>
  </si>
  <si>
    <t>MADAGASCAR CENTELLA AIR-FIT SUNCREAM PLUS 50ML</t>
  </si>
  <si>
    <t>8809576261301</t>
  </si>
  <si>
    <t>MADAGASCAR CENTELLA HYALU-CICA HYDRATING MASK 23ML (1EA)</t>
  </si>
  <si>
    <t>8809913832034</t>
  </si>
  <si>
    <t>MADAGASCAR CENTELLA HYALU-CICA SLEEPING PACK 100ML</t>
  </si>
  <si>
    <t>8809576260724</t>
  </si>
  <si>
    <t>MADAGASCAR CENTELLA PROBIO-CICA NOURISHING MASK 23ML (1EA)</t>
  </si>
  <si>
    <t>8809913832003</t>
  </si>
  <si>
    <t>MADAGASCAR CENTELLA TEA-TRICA RELAXING MASK 24ML</t>
  </si>
  <si>
    <t>8809913832058</t>
  </si>
  <si>
    <t>MADAGASCAR CENTELLA TECA CREAM 75ML</t>
  </si>
  <si>
    <t>8809913834571</t>
  </si>
  <si>
    <t>RAMADAN EDITION(2026)</t>
  </si>
  <si>
    <t>8809913834298</t>
  </si>
  <si>
    <t>CERAVE</t>
  </si>
  <si>
    <t>CV CREME MOUSSANTE 236ml</t>
  </si>
  <si>
    <t>3337875743563</t>
  </si>
  <si>
    <t>France</t>
  </si>
  <si>
    <t>CV Facial Moisturizing Lotion SPF50 52ml</t>
  </si>
  <si>
    <t>3337875814652</t>
  </si>
  <si>
    <t>CV Foaming Cleanser 236ml</t>
  </si>
  <si>
    <t>3337875597197</t>
  </si>
  <si>
    <t>CV HA Serum 30ml</t>
  </si>
  <si>
    <t>3606000560833</t>
  </si>
  <si>
    <t>CV HAND CREAM</t>
  </si>
  <si>
    <t>3337875597319</t>
  </si>
  <si>
    <t>CV Hydrating Cleanser 236ML</t>
  </si>
  <si>
    <t>3337875597180</t>
  </si>
  <si>
    <t>CV Hydrating Cleanser 473ML</t>
  </si>
  <si>
    <t>3337875597333</t>
  </si>
  <si>
    <t>CV Moisturising Cream 177ml</t>
  </si>
  <si>
    <t>3337875598996</t>
  </si>
  <si>
    <t>CV Moisturising Lotion 236ml</t>
  </si>
  <si>
    <t>3337875597210</t>
  </si>
  <si>
    <t>CV Moisturizing Lotion 473ml</t>
  </si>
  <si>
    <t>3337875597395</t>
  </si>
  <si>
    <t>CV Retinol Serum 30ml</t>
  </si>
  <si>
    <t>3337875829007</t>
  </si>
  <si>
    <t>CV SOIN CONCENTRE ANTI-IMPERF 40ml</t>
  </si>
  <si>
    <t>3337875782357</t>
  </si>
  <si>
    <t>Charoltte Tilbury</t>
  </si>
  <si>
    <t>Charoltte Tilbury Air Brush Flawless Setting Sprayy </t>
  </si>
  <si>
    <t>5056446616171</t>
  </si>
  <si>
    <t>USA</t>
  </si>
  <si>
    <t xml:space="preserve">CLINIQUE </t>
  </si>
  <si>
    <t>CLINIQUE LOTION NO 2 400 ML</t>
  </si>
  <si>
    <t>20714290597</t>
  </si>
  <si>
    <t>CLINIQUE LOTION NO 3 400ML</t>
  </si>
  <si>
    <t>20714290627</t>
  </si>
  <si>
    <t>Clinique AS/AB CLARIFYING LOTION 200ML</t>
  </si>
  <si>
    <t>20714281113</t>
  </si>
  <si>
    <t>Clinique AS/AB CLNIC CLEAR GEL 30ML</t>
  </si>
  <si>
    <t>20714653651</t>
  </si>
  <si>
    <t>CLINIQUE CLARIFYING LOTION 3-400ML</t>
  </si>
  <si>
    <t>20714462734</t>
  </si>
  <si>
    <t>CLINIQUE CLARIFYING LOTION II 200ML/6.7FLOZ</t>
  </si>
  <si>
    <t>20714462765</t>
  </si>
  <si>
    <t>US</t>
  </si>
  <si>
    <t>clinique Dark Spot Corrector + Interruptor 50 mL</t>
  </si>
  <si>
    <t>192333027226</t>
  </si>
  <si>
    <t>Clinique gel</t>
  </si>
  <si>
    <t>020714222857</t>
  </si>
  <si>
    <t>JAPAN</t>
  </si>
  <si>
    <t>Clinique gel *2</t>
  </si>
  <si>
    <t>020714458669</t>
  </si>
  <si>
    <t>Clinique lotion</t>
  </si>
  <si>
    <t>020714598907</t>
  </si>
  <si>
    <t>CLINIQUE MS Hydra Super Concentrate 48 mL</t>
  </si>
  <si>
    <t>20714851125</t>
  </si>
  <si>
    <t>CLINIQUE TTDO MU RE LIDS LASH &amp; LIP 125ML</t>
  </si>
  <si>
    <t>20714146559</t>
  </si>
  <si>
    <t xml:space="preserve">CLINSIS </t>
  </si>
  <si>
    <t>CLINSIS Amber &amp; Oud Scented Body Wash</t>
  </si>
  <si>
    <t>6976320860140</t>
  </si>
  <si>
    <t>CHINA</t>
  </si>
  <si>
    <t>CLINSIS Anti-Dandruff &amp; Soothing Shampoo</t>
  </si>
  <si>
    <t>6976320860164</t>
  </si>
  <si>
    <t>china</t>
  </si>
  <si>
    <t>CLINSIS Camellia Girl Scented Body Wash</t>
  </si>
  <si>
    <t>6976320860515</t>
  </si>
  <si>
    <t>CLINSIS Midnight Fantasy Scented Body Wash</t>
  </si>
  <si>
    <t>6976320860348</t>
  </si>
  <si>
    <t>CLINSIS Paris Girl Scented Body Wash</t>
  </si>
  <si>
    <t>6976320860706</t>
  </si>
  <si>
    <t>CLINSIS Thai Mango &amp; Lime Scented Body Wash</t>
  </si>
  <si>
    <t>6976320860102</t>
  </si>
  <si>
    <t>CLINSIS White Shirt Scented Body Wash</t>
  </si>
  <si>
    <t>6976320860126</t>
  </si>
  <si>
    <t>Dr. Althea</t>
  </si>
  <si>
    <t>Dr. Althea Green Relief Amino Gel Cleanser 100ml </t>
  </si>
  <si>
    <t>8809447254708</t>
  </si>
  <si>
    <t>Dr. Althea Gentle Vitamin C serum 30ml</t>
  </si>
  <si>
    <t>8809447255101</t>
  </si>
  <si>
    <t>Dr. Althea Natural Radiance Essence 30ml</t>
  </si>
  <si>
    <t>8809447253480</t>
  </si>
  <si>
    <t>Dr.Althea Skin Relief Essence 30ml</t>
  </si>
  <si>
    <t>8809447253473</t>
  </si>
  <si>
    <t>Aqua Marine Deep Serum 30ml</t>
  </si>
  <si>
    <t>8809447256191</t>
  </si>
  <si>
    <t xml:space="preserve">The Pure Lab Co., Ltd. Dr. Althea Green Tea Fresh Sunscreen </t>
  </si>
  <si>
    <t>8809447255989</t>
  </si>
  <si>
    <t>Dr.Althea 345 relief Serum</t>
  </si>
  <si>
    <t>8809447257051</t>
  </si>
  <si>
    <t>Dr.Althea 345 Relief Cream Mist 60ml</t>
  </si>
  <si>
    <t>8809447256122</t>
  </si>
  <si>
    <t>Dr.Althea 345 Relief Cream Mist 100ml</t>
  </si>
  <si>
    <t>8809447256115</t>
  </si>
  <si>
    <t>DR. Althea 147 Barrier Cream</t>
  </si>
  <si>
    <t>8809447251363</t>
  </si>
  <si>
    <t>Dr. Althea 345 Relife Cream 50ML</t>
  </si>
  <si>
    <t>8809447251394</t>
  </si>
  <si>
    <t>PDRN Reju 5000 Cream 20g(PDRN 5,000ppm)</t>
  </si>
  <si>
    <t>8809447256412</t>
  </si>
  <si>
    <t>Aqua Marine Watery Cream 50ml</t>
  </si>
  <si>
    <t>8809447256085</t>
  </si>
  <si>
    <t>Pore Refresh Grinding Cleansing Balm 50ml</t>
  </si>
  <si>
    <t>8809447255620</t>
  </si>
  <si>
    <t>15% NIACINAMIDE PURITY SERUM 30ML</t>
  </si>
  <si>
    <t>8809447254609</t>
  </si>
  <si>
    <t>CUSHION VEIL CALMING MASK 35G (4EA)</t>
  </si>
  <si>
    <t>8809477255729</t>
  </si>
  <si>
    <t>OASIS SOOTHING MASK 27G (5EA)</t>
  </si>
  <si>
    <t>8809447251936</t>
  </si>
  <si>
    <t>RAPID FIRM SCULPTING CREAM 45ML</t>
  </si>
  <si>
    <t>8809447251745</t>
  </si>
  <si>
    <t>VITA GLOW MASK 28G (4EA)</t>
  </si>
  <si>
    <t>8809447255804</t>
  </si>
  <si>
    <t>Dalfur</t>
  </si>
  <si>
    <t>Dalfur whitening cream</t>
  </si>
  <si>
    <t>0727295223722</t>
  </si>
  <si>
    <t>ISDIN</t>
  </si>
  <si>
    <t>Isdin Fotoprotector SPF50+ Fusion Water Magic 50Ml</t>
  </si>
  <si>
    <t>8429420306240</t>
  </si>
  <si>
    <t>Elizavecca</t>
  </si>
  <si>
    <t>Elizavecca Witch Piggy Hell-Pore Control Hyaluronic Acid 97 50ml</t>
  </si>
  <si>
    <t>8809418750666</t>
  </si>
  <si>
    <t>EMBRYOLISSE</t>
  </si>
  <si>
    <t>EMBRYOLISSE MOISTURIZER CREAM 30ML</t>
  </si>
  <si>
    <t>3350900000394</t>
  </si>
  <si>
    <t>EMBRYOLISSE MOISTURIZER CREAM 75ML</t>
  </si>
  <si>
    <t>3350900000011</t>
  </si>
  <si>
    <t>EQQUAL BERRY</t>
  </si>
  <si>
    <t>EQQUALBERRY DISCOVERY KIT</t>
  </si>
  <si>
    <t>8809875457818</t>
  </si>
  <si>
    <t>EQQUAL BERRY Serum 30ml</t>
  </si>
  <si>
    <t>8809875456484</t>
  </si>
  <si>
    <t>EQQUAL BERRY SERUM YELLOW</t>
  </si>
  <si>
    <t>8809875456477</t>
  </si>
  <si>
    <t>Eqqual Berry NAD+ Peptide Boosting Serum 30ml</t>
  </si>
  <si>
    <t>8809875457801</t>
  </si>
  <si>
    <t>EQQUAL BERRY ALOE PDRN CLAMING SEURM</t>
  </si>
  <si>
    <t>8809875457788</t>
  </si>
  <si>
    <t>EQQUAL BERRY HYALTION FLOODING SERM</t>
  </si>
  <si>
    <t>8809875457795</t>
  </si>
  <si>
    <t>EQQUALBERRY Bakuchiol Plumping Capsule Cream</t>
  </si>
  <si>
    <t>8809875456347</t>
  </si>
  <si>
    <t>Equalberry NAD Plus Peptide Boosting Cream 50mL</t>
  </si>
  <si>
    <t>8809875457894</t>
  </si>
  <si>
    <t>Eqqualberry Vitamin Illuminating Cream | Brightening Face Cream</t>
  </si>
  <si>
    <t>8809875457832</t>
  </si>
  <si>
    <t>EQQUALBERRY BAKUCHIOL PLUMPING TONER 150ML</t>
  </si>
  <si>
    <t>8809875457979</t>
  </si>
  <si>
    <t>EQQUALBERRY ALOE PDRN CALMING TONER 150ML</t>
  </si>
  <si>
    <t>8809875457863</t>
  </si>
  <si>
    <t xml:space="preserve">
EQQUALBERRY NAD PLUS PEPTIDE BOOSTING TONER 150ML</t>
  </si>
  <si>
    <t>8809875457887</t>
  </si>
  <si>
    <t>EQQUALBERRY HYALTION FLOODING TONER 150ML</t>
  </si>
  <si>
    <t>8809875457849</t>
  </si>
  <si>
    <t>EQQUAL BERRY VITAMIN C TONER</t>
  </si>
  <si>
    <t>8809875457825</t>
  </si>
  <si>
    <t>Eucerin</t>
  </si>
  <si>
    <t>Eucerin Dry Touch sun Gel Cream Ultra Light ...50ml </t>
  </si>
  <si>
    <t>4005800120237</t>
  </si>
  <si>
    <t>Eucerin Dermato Clean Cleansing Gel 200ml </t>
  </si>
  <si>
    <t>4005808583447</t>
  </si>
  <si>
    <t>germany</t>
  </si>
  <si>
    <t>EUCERIN - Dermo Purifyer Oil Control 200mL</t>
  </si>
  <si>
    <t>4005800182020</t>
  </si>
  <si>
    <t>EUCERIN DERMO PURIFYING OIL CONTROL ...200ml</t>
  </si>
  <si>
    <t>4005800181757</t>
  </si>
  <si>
    <t>Eucerin Dermato Clean Clarifying Toner 200ml</t>
  </si>
  <si>
    <t>4005808583669</t>
  </si>
  <si>
    <t>Eucerin DermatoCLEAN 3-in-1 Micellar Cleansing200ml</t>
  </si>
  <si>
    <t>4005808951222</t>
  </si>
  <si>
    <t>Eucerin Dermo Purifyer Scrub 100ml</t>
  </si>
  <si>
    <t>4005800182044</t>
  </si>
  <si>
    <t>Eucerin UreaRepair Gentle Shower Gel 5% Urea 400 ml</t>
  </si>
  <si>
    <t>4006000100272</t>
  </si>
  <si>
    <t xml:space="preserve">GOT 2B </t>
  </si>
  <si>
    <t>GOT 2B Ultra Glued Invincible Styling Gel, 1.25</t>
  </si>
  <si>
    <t>52336909298</t>
  </si>
  <si>
    <t>Mexico</t>
  </si>
  <si>
    <t xml:space="preserve">IM SORRY </t>
  </si>
  <si>
    <t>IM SORRY FOR MY SKIN HONEY BEAM AMPOULE 30ML </t>
  </si>
  <si>
    <t>8809626560750</t>
  </si>
  <si>
    <t>Karsell</t>
  </si>
  <si>
    <t>Karsell conditioner</t>
  </si>
  <si>
    <t>4897110030586</t>
  </si>
  <si>
    <t>Karsell Serum</t>
  </si>
  <si>
    <t>Karsell Shampoo</t>
  </si>
  <si>
    <t>4897110030579</t>
  </si>
  <si>
    <t>LA ROCHE POSAY</t>
  </si>
  <si>
    <t>LA ROCHE POSAY 50+ FLUIDE INVISIBLE 50ML</t>
  </si>
  <si>
    <t>3337875797597</t>
  </si>
  <si>
    <t>LA ROCHE POSAY INNOVATION ANTHELIOS SPF 50 FLUID</t>
  </si>
  <si>
    <t>3337875847292</t>
  </si>
  <si>
    <t>LRP B5 100ML</t>
  </si>
  <si>
    <t>3337875816847</t>
  </si>
  <si>
    <t>LRP B5 Balm 40ml</t>
  </si>
  <si>
    <t>3337875816809</t>
  </si>
  <si>
    <t>LRP B5 Serum Set</t>
  </si>
  <si>
    <t>3433425456034</t>
  </si>
  <si>
    <t>LRP Cicaplast Gel B5 40ml</t>
  </si>
  <si>
    <t>3337875586269</t>
  </si>
  <si>
    <t>LRP Effaclar Duo+ Cream 40ml (New)</t>
  </si>
  <si>
    <t>3337875863377</t>
  </si>
  <si>
    <t>LRP Effaclar Duo+M Tinted Care 40ml</t>
  </si>
  <si>
    <t>3337875909273</t>
  </si>
  <si>
    <t>LRP LIPIKAR AP+M TRIPLE-ACTION BALM 400ML</t>
  </si>
  <si>
    <t>3337875696548</t>
  </si>
  <si>
    <t>LRP Mela B3 Serum 30ml UK</t>
  </si>
  <si>
    <t>3337875890021</t>
  </si>
  <si>
    <t>LRP Toleriane Dermallergo Cream 40ml</t>
  </si>
  <si>
    <t>3337875757614</t>
  </si>
  <si>
    <t>laneige</t>
  </si>
  <si>
    <t>laneige lip sleeping mask small</t>
  </si>
  <si>
    <t>8809685797173</t>
  </si>
  <si>
    <t>MARY &amp; MAY</t>
  </si>
  <si>
    <t>MARY &amp; MAY EYE CREAM</t>
  </si>
  <si>
    <t>8809670681159</t>
  </si>
  <si>
    <t>Mary&amp;May Spicule Collagen PDRN Cream 15g</t>
  </si>
  <si>
    <t>8809670683320</t>
  </si>
  <si>
    <t>Mary&amp;May Spicule Retinol PDRN Cream 15g</t>
  </si>
  <si>
    <t>8809670683313</t>
  </si>
  <si>
    <t>MARY MAY eye cream set</t>
  </si>
  <si>
    <t>8809670682255</t>
  </si>
  <si>
    <t>MEDICUBE</t>
  </si>
  <si>
    <t xml:space="preserve">MEDICUBE COLLAGEEN WRAPPING MASK 75ML </t>
  </si>
  <si>
    <t>8800256113217</t>
  </si>
  <si>
    <t>MEDICUBE-KOJI ACID TURMERIC NIGHT WRAPPING MASK 75ML</t>
  </si>
  <si>
    <t>8800256114580</t>
  </si>
  <si>
    <t>MEDICUBE PDRN PINK CAFFEINENIGHT WRAPPING MASK 75mI</t>
  </si>
  <si>
    <t>8800289474774</t>
  </si>
  <si>
    <t>Medicube - PDRN Gel Mask 4 Each Box88</t>
  </si>
  <si>
    <t>8800256114399</t>
  </si>
  <si>
    <t>RED ACNE BODY PEELING SHOT 110g</t>
  </si>
  <si>
    <t>8800240576233</t>
  </si>
  <si>
    <t>Medicube pdrn pink collageen capsule cream</t>
  </si>
  <si>
    <t>880256118885</t>
  </si>
  <si>
    <t>MediCube_PDRN_PDRN Angel Two-Foam Cleanser_200mL</t>
  </si>
  <si>
    <t>8800289473852</t>
  </si>
  <si>
    <t>Medicube_Collagen_Glow Sun Cream_50mL</t>
  </si>
  <si>
    <t>8800289461552</t>
  </si>
  <si>
    <t>Medicube_Collagen_dew Sun Cream_50mL_00</t>
  </si>
  <si>
    <t>880289469619</t>
  </si>
  <si>
    <t>Medicube Zero Fome Cleanser 120g</t>
  </si>
  <si>
    <t>8800240575298</t>
  </si>
  <si>
    <t>MEDICUBE jelly cream 50ml</t>
  </si>
  <si>
    <t>8800289477423</t>
  </si>
  <si>
    <t>MEDICUBE COLLAGEN JELLY CREAM 110ML</t>
  </si>
  <si>
    <t>8809982769903</t>
  </si>
  <si>
    <t xml:space="preserve">MEDICUBE C CAPSULE CREAM 55 G </t>
  </si>
  <si>
    <t>8809982769866</t>
  </si>
  <si>
    <t>Medicube Red Acne Body wash 400g</t>
  </si>
  <si>
    <t>8809936587119</t>
  </si>
  <si>
    <t>medicube collagen cream 50ml</t>
  </si>
  <si>
    <t>8800256114313</t>
  </si>
  <si>
    <t>medicube zero pore pad</t>
  </si>
  <si>
    <t>8800256108374</t>
  </si>
  <si>
    <t>MEDICUBE ZERO PORE PAD MILD 155g</t>
  </si>
  <si>
    <t>8809517414315</t>
  </si>
  <si>
    <t>Medicube [70pcs] RED SUCCINIC ACID PEELING PAD</t>
  </si>
  <si>
    <t>8809960356170</t>
  </si>
  <si>
    <t>medicube zero blackhwad mask 100g</t>
  </si>
  <si>
    <t>8809960356767</t>
  </si>
  <si>
    <t>Medicube RED ACNE SUCCINC ACID PEEL 40g </t>
  </si>
  <si>
    <t>8809517419709</t>
  </si>
  <si>
    <t>medicube GLOW CAPSULE CREAM 50ML (AGE-R) </t>
  </si>
  <si>
    <t>8800240573188</t>
  </si>
  <si>
    <t>medicube one day shot 2000 30ml</t>
  </si>
  <si>
    <t>8809981334928</t>
  </si>
  <si>
    <t>MEDICUBE COLLAGEN JELLY CREAM 50ML</t>
  </si>
  <si>
    <t>8800256112227</t>
  </si>
  <si>
    <t>MEDICUBE COLLAGEN GLOW BOOSTER SERUM 15ML</t>
  </si>
  <si>
    <t>8809981339206</t>
  </si>
  <si>
    <t>Medicube PDRN PINK EXOSOME SHOT SERUM 2000 30ml</t>
  </si>
  <si>
    <t>8800256115532</t>
  </si>
  <si>
    <t>Medicube PDRN PINK EXOSOME SHOT SERUM 7500 30ml</t>
  </si>
  <si>
    <t>8800256115549</t>
  </si>
  <si>
    <t>medicube soothing toner250ml</t>
  </si>
  <si>
    <t>8800256112234</t>
  </si>
  <si>
    <t>medicube - Red Succinic Acid Serum 30ml </t>
  </si>
  <si>
    <t>8809921774258</t>
  </si>
  <si>
    <t>medicube TXA+Niacinamide 15% Serum 30ml</t>
  </si>
  <si>
    <t>8800256119134</t>
  </si>
  <si>
    <t>MEDICUBE TXA NIACINAMAIDE CAPSULE CREAM 55g</t>
  </si>
  <si>
    <t>8800256119660</t>
  </si>
  <si>
    <t>Medicube Exosome Cica Serum 30ml</t>
  </si>
  <si>
    <t>8800256112074</t>
  </si>
  <si>
    <t>medicube Zero bore cream 50ml</t>
  </si>
  <si>
    <t>8800240567354</t>
  </si>
  <si>
    <t>Medicube Deep Vita C Ampoule 2.0</t>
  </si>
  <si>
    <t>8800240566944</t>
  </si>
  <si>
    <t>medicube deep EYE cream 30ml</t>
  </si>
  <si>
    <t>8800240579838</t>
  </si>
  <si>
    <t>MEDICUBE DEEP VITA RETIONAL SERUM </t>
  </si>
  <si>
    <t>8809960356620</t>
  </si>
  <si>
    <t>MEDICUBE PDRN Lip Sleeping Mask 10g</t>
  </si>
  <si>
    <t>8800289470455</t>
  </si>
  <si>
    <t>Medicube Glutathione Glow Serum 30g </t>
  </si>
  <si>
    <t>8800256115174</t>
  </si>
  <si>
    <t>Medicube Zero One Day Serum 30ml </t>
  </si>
  <si>
    <t>8809982769828</t>
  </si>
  <si>
    <t>MEDICUBE TRIPLE COLLAGEN SERUM 55ML </t>
  </si>
  <si>
    <t>8800256114351</t>
  </si>
  <si>
    <t>medicube - AGE-R Glutathione Glow Toner </t>
  </si>
  <si>
    <t>8800256114382</t>
  </si>
  <si>
    <t>(US) AGE-R BOOSTER PRO MINI PLUS PINK</t>
  </si>
  <si>
    <t>8800289475221</t>
  </si>
  <si>
    <t>(US) AGE-R BOOSTER PRO X2 WHITE</t>
  </si>
  <si>
    <t>8800289468674</t>
  </si>
  <si>
    <t>[IOEA] PDRN PINK ONE DAY SERUM 1.5ML X 10PCS</t>
  </si>
  <si>
    <t>8800256115365</t>
  </si>
  <si>
    <t>2024 ZERO PORE PAD 2.0</t>
  </si>
  <si>
    <t>8800256114665</t>
  </si>
  <si>
    <t>AZELAIC ACID 16 BB CALMING SERUM 30ML</t>
  </si>
  <si>
    <t>8800289479083</t>
  </si>
  <si>
    <t>COLLAGEN LIFTING MASK 27G (1EA)</t>
  </si>
  <si>
    <t>8809517411741</t>
  </si>
  <si>
    <t>DEEP VITA C DAILY QUICK MASK (30PCS)</t>
  </si>
  <si>
    <t>8809982769941</t>
  </si>
  <si>
    <t>DEEP VITA C PAD (70PADS)</t>
  </si>
  <si>
    <t>8800256109661</t>
  </si>
  <si>
    <t>HYALURONIC MOISTURIZING CAPSULE CREAM 55G</t>
  </si>
  <si>
    <t>8800289477478</t>
  </si>
  <si>
    <t>HYALURONIC MULTI PEPTIDE SERUM 30ML</t>
  </si>
  <si>
    <t>8800256119141</t>
  </si>
  <si>
    <t>HYPOCHLOROUS 3H RELIEF CREAM 50ML</t>
  </si>
  <si>
    <t>8800289461194</t>
  </si>
  <si>
    <t>HYPOCHLOROUS ACID DAILY FACIAL SPRAY 50ML</t>
  </si>
  <si>
    <t>8800289479502</t>
  </si>
  <si>
    <t>KOJIC ACID TURMERIC BRIGHTENING GEL MASK (4EA)</t>
  </si>
  <si>
    <t>8800256114603</t>
  </si>
  <si>
    <t>KOJIC ACID TURMERIC NIACINAMIDE SERUM 30ML</t>
  </si>
  <si>
    <t>8800289477416</t>
  </si>
  <si>
    <t>KOJIC ACID TURMERIC NIGHT WRAPPING MASK 75ML</t>
  </si>
  <si>
    <t>8800289474859</t>
  </si>
  <si>
    <t>KOJIC ACID TURMERIC VITA EYE GEL SERUM 30ML</t>
  </si>
  <si>
    <t>8800289479656</t>
  </si>
  <si>
    <t>KOJIC ACID TURMERIC VITA JELLY MIST SERUM 100ML</t>
  </si>
  <si>
    <t>8800289479458</t>
  </si>
  <si>
    <t>ONE DAY EXOSOME SHOT PORE AMPOULE 25000 13ML</t>
  </si>
  <si>
    <t>8800256115556</t>
  </si>
  <si>
    <t>ONE DAY EXOSOME SHOT PORE AMPOULE 7500 30ML</t>
  </si>
  <si>
    <t>8809982768524</t>
  </si>
  <si>
    <t>PDRN BOOSTER GEL 300ML</t>
  </si>
  <si>
    <t>8800256114979</t>
  </si>
  <si>
    <t>PDRN PINK COLLAGEN BUBBLE SERUM 95ML</t>
  </si>
  <si>
    <t>8800289478796</t>
  </si>
  <si>
    <t>PDRN PINK COLLAGEN GEL MASK (1EA)</t>
  </si>
  <si>
    <t>8800256108046</t>
  </si>
  <si>
    <t>PDRN PINK COLLAGEN TONING GEL TONER PAD (70PADS)</t>
  </si>
  <si>
    <t>8800289470448</t>
  </si>
  <si>
    <t>PDRN PINK HYALURONIC MOISTURIZING CREAM 50ML</t>
  </si>
  <si>
    <t>8800256113101</t>
  </si>
  <si>
    <t>PDRN PINK NIACINEAMIDE WHIP CLEANSER 120G</t>
  </si>
  <si>
    <t>8800289473159</t>
  </si>
  <si>
    <t>PDRN PINK PEPTIDE EYE CREAM 30ML</t>
  </si>
  <si>
    <t>8800256119042</t>
  </si>
  <si>
    <t>PDRN PINK PEPTIDE SERUM 30ML</t>
  </si>
  <si>
    <t>8800256108053</t>
  </si>
  <si>
    <t>PDRN PINK PEPTIDE SERUM MASK (6EA)</t>
  </si>
  <si>
    <t>8800289462559</t>
  </si>
  <si>
    <t>RED ACNE BODY WASH 3.0 400ML</t>
  </si>
  <si>
    <t>8800289469077</t>
  </si>
  <si>
    <t>RED CLEAR CICA BODY MIST 200ML</t>
  </si>
  <si>
    <t>8809517413936</t>
  </si>
  <si>
    <t>RED CREAM 2.0 PLUS 100ML</t>
  </si>
  <si>
    <t>8809883882251</t>
  </si>
  <si>
    <t>RED FOAM CLEANSER 2020 120ML</t>
  </si>
  <si>
    <t>8809517411345</t>
  </si>
  <si>
    <t>RED TONER 2.0_NEW 100ML</t>
  </si>
  <si>
    <t>8809960356569</t>
  </si>
  <si>
    <t>SOYXIDIL SHAMPOO 490ML</t>
  </si>
  <si>
    <t>8809517413646</t>
  </si>
  <si>
    <t>TRIPLE COLLAGEN SERUM 4.0 55ML RENEW</t>
  </si>
  <si>
    <t>8800240566913</t>
  </si>
  <si>
    <t>TRIPLE COLLAGEN TONER 4.0 140ML</t>
  </si>
  <si>
    <t>8800256114320</t>
  </si>
  <si>
    <t>TXA NIACINAMIDE 15 SERUM 30ML</t>
  </si>
  <si>
    <t>8800289468407</t>
  </si>
  <si>
    <t>ZERO PORE CLEARING CAPSULE CLEANSING FOAM 120G</t>
  </si>
  <si>
    <t>8800256119226</t>
  </si>
  <si>
    <t>ZERO PORE COOLING MASK 27G (1EA)</t>
  </si>
  <si>
    <t>8800240569969</t>
  </si>
  <si>
    <t>ZERO PORE CREAM 2.0 50ML</t>
  </si>
  <si>
    <t>8800240567330</t>
  </si>
  <si>
    <t>ZERO PORE ONE DAY PEPTIDE SERUM 30ML</t>
  </si>
  <si>
    <t>8800289467240</t>
  </si>
  <si>
    <t>ZERO PORE SERUM 2.0 37ML RENEWED</t>
  </si>
  <si>
    <t>8800256114283</t>
  </si>
  <si>
    <t>MIELLE</t>
  </si>
  <si>
    <t>MILLY HAIR MASK</t>
  </si>
  <si>
    <t>854102006763</t>
  </si>
  <si>
    <t>Mom's Bath Recipe</t>
  </si>
  <si>
    <t>Mom's Bath Recipe Body Peeling Pad GREEN</t>
  </si>
  <si>
    <t>8809596939587</t>
  </si>
  <si>
    <t>Mom's Bath Recipe Body Peeling Pad Strong  RED</t>
  </si>
  <si>
    <t>8809596939563</t>
  </si>
  <si>
    <t>Numbuzin</t>
  </si>
  <si>
    <t>Numbuzin No.3 Rice Enzyme Skin Softening Cleansing Foam 170ml </t>
  </si>
  <si>
    <t>8809652584423</t>
  </si>
  <si>
    <t>NUMBUZIN NMN COLLAGEN UNDER EYE PATCHES 9+</t>
  </si>
  <si>
    <t>8809652589381</t>
  </si>
  <si>
    <t>NUMBUZIN NAD+PDRN GLOW TONER</t>
  </si>
  <si>
    <t>8809652589794</t>
  </si>
  <si>
    <t>NUMBUZIN NAD+ RETINOL VOLUMETOX 9+ EYE CREAM 10ML</t>
  </si>
  <si>
    <t>880965289800</t>
  </si>
  <si>
    <t>Numbuzin No.9 NAD Bio Lifting Essence 50ml</t>
  </si>
  <si>
    <t>8809652587639</t>
  </si>
  <si>
    <t>numbuzin No.3 Skin Softening Serum 50 ml</t>
  </si>
  <si>
    <t>8809652580036</t>
  </si>
  <si>
    <t>No.1 Pantothenic B5 Hyaluronic Active Clear</t>
  </si>
  <si>
    <t>8809652589091</t>
  </si>
  <si>
    <t>NUMBUZIN No. 2 Rose PDRN Collagen 2X Plumping Serum 30ml</t>
  </si>
  <si>
    <t>8809652589725</t>
  </si>
  <si>
    <t>No.3 Blue Bio-Retinol Pore Refining Serum</t>
  </si>
  <si>
    <t>8809652589732</t>
  </si>
  <si>
    <t>No.4 Ceramide AHA Glazed Skin Frep Serum</t>
  </si>
  <si>
    <t>8809652589749</t>
  </si>
  <si>
    <t>No.1 Fantothenic B5 Active Soothing Cream</t>
  </si>
  <si>
    <t>8809652583228</t>
  </si>
  <si>
    <t>No.5 Vitamin Glutathione Dark Spot Laser</t>
  </si>
  <si>
    <t>8809652585055</t>
  </si>
  <si>
    <t>Numbuzin TXA Advanced Dark Spot 5+</t>
  </si>
  <si>
    <t>8800312062008</t>
  </si>
  <si>
    <t>Numbuzin No. 5 Goodbye Blemish Serum 50 ml</t>
  </si>
  <si>
    <t>8809652580050</t>
  </si>
  <si>
    <t>NUMBUZIN No.5+ Vitamin Concentrated Serum</t>
  </si>
  <si>
    <t>8809652581774</t>
  </si>
  <si>
    <t>Numbuzin 1 Pantothenic B5 Active Soothing Serum50ml</t>
  </si>
  <si>
    <t>8809652583211</t>
  </si>
  <si>
    <t>NO.1 CLEAR FILTER SUN ESSENCE 50ML</t>
  </si>
  <si>
    <t>8809652581705</t>
  </si>
  <si>
    <t>NO.1 PANTOTHENIC B5 HYALURONIC ACTIVE CLEAR MASK (1EA)</t>
  </si>
  <si>
    <t>8809652588728</t>
  </si>
  <si>
    <t>NO.3 TINGLE-PORE SOFTENING SHEET MASK (1EA)</t>
  </si>
  <si>
    <t>8809652580272</t>
  </si>
  <si>
    <t>NO.5 VITAMIN-NIACINAMIDE CONCENTRATED PAD (70PADS)</t>
  </si>
  <si>
    <t>8809652581781</t>
  </si>
  <si>
    <t>NO.6 DEEP SLEEP MASK SERUM 50ML</t>
  </si>
  <si>
    <t>8809652580210</t>
  </si>
  <si>
    <t>NO.9 NAD+ RETINAL VOLUMETOX EYE CREAM (TUBE) 20ML</t>
  </si>
  <si>
    <t>8800312065351</t>
  </si>
  <si>
    <t>PURITO</t>
  </si>
  <si>
    <t>PURITO SEOUL Wonder Releaf Centella Eye Cream Unscented 30ml</t>
  </si>
  <si>
    <t>8809563101023</t>
  </si>
  <si>
    <t>PURITO SEOUL Timeless Bloom Retinol Spot Cream 30ml</t>
  </si>
  <si>
    <t>8809563103065</t>
  </si>
  <si>
    <t>Oat In Calming Gel Cream</t>
  </si>
  <si>
    <t>8809563101054</t>
  </si>
  <si>
    <t>Wonder Relief Mini Kit</t>
  </si>
  <si>
    <t>8809563100828</t>
  </si>
  <si>
    <t>Mighty Bamboo Panthenol Cream</t>
  </si>
  <si>
    <t>8809563103430</t>
  </si>
  <si>
    <t>Oat In Gentle Exfoliating Face Cleanser</t>
  </si>
  <si>
    <t>8809563103904</t>
  </si>
  <si>
    <t>Oat In Gentle Refine Toner</t>
  </si>
  <si>
    <t>8809563103959</t>
  </si>
  <si>
    <t>Hypochlorous Acid Rescue Spray</t>
  </si>
  <si>
    <t>8809563103997</t>
  </si>
  <si>
    <t>txa niacinamide serum RETINAL</t>
  </si>
  <si>
    <t>8809563103973</t>
  </si>
  <si>
    <t xml:space="preserve">purito azelaic acid 10 kojic tea tree serum </t>
  </si>
  <si>
    <t>8809563103980</t>
  </si>
  <si>
    <t>Seoul Best Kit</t>
  </si>
  <si>
    <t>8809563103645</t>
  </si>
  <si>
    <t>FROM GREEN CLEANSING OIL 200ML</t>
  </si>
  <si>
    <t>8809563102532</t>
  </si>
  <si>
    <t>GALACTO NIACIN 97 POWER ESSENCE 60ML</t>
  </si>
  <si>
    <t>8809563102013</t>
  </si>
  <si>
    <t>MIGHTY BAMBOO PANTHENOL CLEANSER 150ML</t>
  </si>
  <si>
    <t>8809563103652</t>
  </si>
  <si>
    <t>MIGHTY BAMBOO PANTHENOL SERUM 30ML</t>
  </si>
  <si>
    <t>8809563103423</t>
  </si>
  <si>
    <t>SEA BUCKTHORN VITAL 70 CREAM 50ML</t>
  </si>
  <si>
    <t>8809563100392</t>
  </si>
  <si>
    <t>TIMELESS BLOOM BAKUCHIOL SERUM 30ML</t>
  </si>
  <si>
    <t>8809563102365</t>
  </si>
  <si>
    <t>WONDER RELEAF CENTELLA EYE CREAM 30ML</t>
  </si>
  <si>
    <t>8809563100156</t>
  </si>
  <si>
    <t>WONDER RELEAF CENTELLA TONER UNSCENTED 200ML</t>
  </si>
  <si>
    <t>8809563100347</t>
  </si>
  <si>
    <t>Round Lab</t>
  </si>
  <si>
    <t>Round Lab ENG) 1025 Dokdo Cleansing Oil 200ml</t>
  </si>
  <si>
    <t>8809738605677</t>
  </si>
  <si>
    <t>Round Lab PINE CALMING CICA CLEANSER_150ml </t>
  </si>
  <si>
    <t>8809864754126</t>
  </si>
  <si>
    <t>ROUND LAB BIRCH JUICE MOISTURIZING SERUM 50ML </t>
  </si>
  <si>
    <t>8809782553009</t>
  </si>
  <si>
    <t>Round Lab (Renewal) PINE CALMING CICA AMPULE_30ml</t>
  </si>
  <si>
    <t>8809783325667</t>
  </si>
  <si>
    <t>Round Lab *Renewal SOYBEAN PANTHENOL CREAM_80ml</t>
  </si>
  <si>
    <t>8809875907337</t>
  </si>
  <si>
    <t>ROUND LAB BIRCH JUICE MOISTURIZING SUNSCREEN 50ML</t>
  </si>
  <si>
    <t>8809782551814</t>
  </si>
  <si>
    <t>Round Lab Birch Moisture Tone-Up Sunscreen 50ml</t>
  </si>
  <si>
    <t>8809864769977</t>
  </si>
  <si>
    <t>ROYAL</t>
  </si>
  <si>
    <t>ROYAL MODELING MASK</t>
  </si>
  <si>
    <t>8809645780375</t>
  </si>
  <si>
    <t>Sea Breeze</t>
  </si>
  <si>
    <t>Sea Breeze Rinse in Shampoo</t>
  </si>
  <si>
    <t>4901872873197</t>
  </si>
  <si>
    <t>Seabreeze Body Soap Super Cool 600ml</t>
  </si>
  <si>
    <t>4901872866120</t>
  </si>
  <si>
    <t>Secret Key</t>
  </si>
  <si>
    <t>Secret Key- Snow White Cream 50g</t>
  </si>
  <si>
    <t>8809305992360</t>
  </si>
  <si>
    <t>Secret Ket - Snow White Spot Gel 65g</t>
  </si>
  <si>
    <t>8809305993831</t>
  </si>
  <si>
    <t>LEMON SPARKLING CLEANSING OIL 150ML</t>
  </si>
  <si>
    <t>8809305999802</t>
  </si>
  <si>
    <t>STARTING TREATMENT ESSENCE 155ML</t>
  </si>
  <si>
    <t>8809305991295</t>
  </si>
  <si>
    <t>STARTING TREATMENT ESSENTIAL MASK SHEET (10EA)</t>
  </si>
  <si>
    <t>8809305999970</t>
  </si>
  <si>
    <t>STARTING TREATMENT ORIGINAL CREAM 50G</t>
  </si>
  <si>
    <t>8809305994517</t>
  </si>
  <si>
    <t>STARTING TREATMENT ORIGINAL EYE CREAM 30G</t>
  </si>
  <si>
    <t>8809305994609</t>
  </si>
  <si>
    <t>Senka</t>
  </si>
  <si>
    <t>Senka Perfect Wip White Clay 120g</t>
  </si>
  <si>
    <t>4550516474636</t>
  </si>
  <si>
    <t xml:space="preserve">SOME BY MI </t>
  </si>
  <si>
    <t>SOME BY MI BETA PANTHENOL REPAIR SERUM 30ML</t>
  </si>
  <si>
    <t>8809647393214</t>
  </si>
  <si>
    <t>Some By Mi Truecica Mineral Calming Suncream 50ML</t>
  </si>
  <si>
    <t>8809647391609</t>
  </si>
  <si>
    <t>AHA BHA PHA 30 DAYS MIRACLE SERUM 50ML</t>
  </si>
  <si>
    <t>8809525242764</t>
  </si>
  <si>
    <t>ST. Dalfour</t>
  </si>
  <si>
    <t>ST. Dalfour Whitening Soap </t>
  </si>
  <si>
    <t>727295223791</t>
  </si>
  <si>
    <t>Philippines</t>
  </si>
  <si>
    <t>ST DALFO SUNSCREEN</t>
  </si>
  <si>
    <t>727295223746</t>
  </si>
  <si>
    <t>ST DALFOUR BEAUTY WHITENING CREAM</t>
  </si>
  <si>
    <t>727295223722</t>
  </si>
  <si>
    <t>TIRTIR</t>
  </si>
  <si>
    <t>TIRTIR NIACINAMIDE 20% SERUM 30ml</t>
  </si>
  <si>
    <t>8809928132969</t>
  </si>
  <si>
    <t>TIRTIR PURE VITAMIN C24 SERUM 30ML</t>
  </si>
  <si>
    <t>8809928131184</t>
  </si>
  <si>
    <t>TIRTIR MILK SKIN TONER LIGHT 150ML</t>
  </si>
  <si>
    <t>8809928133812</t>
  </si>
  <si>
    <t>TIRTIR REFRESHING SKIN SOS SERUM 50 ML</t>
  </si>
  <si>
    <t>8809679690039</t>
  </si>
  <si>
    <t>(MINI) WATERISM GLOW TINT 01 MAUVE ROSE 1.8G</t>
  </si>
  <si>
    <t>8809928138695</t>
  </si>
  <si>
    <t>(MINI) WATERISM GLOW TINT 03 SAND MOND 1.8G</t>
  </si>
  <si>
    <t>8809928138701</t>
  </si>
  <si>
    <t>(MINI) WATERISM GLOW TINT 07 CASSIS PLUM 1.8G</t>
  </si>
  <si>
    <t>8809928139098</t>
  </si>
  <si>
    <t>(MINI) WATERISM GLOW TINT 09 SALMON SYRUP 1.8G</t>
  </si>
  <si>
    <t>8809928139111</t>
  </si>
  <si>
    <t>(MINI) WATERISM GLOW TINT 11 APPLUM 1.8G</t>
  </si>
  <si>
    <t>8809928139135</t>
  </si>
  <si>
    <t>(MINI) WATERISM GLOW TINT 13 LIKELY 1.8G</t>
  </si>
  <si>
    <t>8809928139159</t>
  </si>
  <si>
    <t>(MINI) WATERISM GLOW TINT 14 ROSE BELL 1.8G</t>
  </si>
  <si>
    <t>8809928139166</t>
  </si>
  <si>
    <t>(MINI) WATERISM GLOW TINT 16 TANGERING 1.8G</t>
  </si>
  <si>
    <t>8809928138879</t>
  </si>
  <si>
    <t>(MINI) WATERISM GLOW TINT 19 BAD ROSY 1.8G</t>
  </si>
  <si>
    <t>8809928138909</t>
  </si>
  <si>
    <t>(MINI) WATERISM GLOW TINT 22 SNOWY PEACH 1.8G</t>
  </si>
  <si>
    <t>8809928138930</t>
  </si>
  <si>
    <t>(MINI) WATERISM GLOW TINT 25 NUTTY PINK 1.8G</t>
  </si>
  <si>
    <t>8809928138961</t>
  </si>
  <si>
    <t>(MINI) WATERISM GLOW TINT 27 MUTY ROSE 1.8G</t>
  </si>
  <si>
    <t>8809928138985</t>
  </si>
  <si>
    <t>CERAMIC MILK AMPOULE 10ML</t>
  </si>
  <si>
    <t>8809679698929</t>
  </si>
  <si>
    <t>HYDRO BOOST ENZYME CLEANSING BALM 120ML</t>
  </si>
  <si>
    <t>8809928134321</t>
  </si>
  <si>
    <t>HYDRO BOOST ENZYME CLEANSING BALM 50ML</t>
  </si>
  <si>
    <t>8809928134338</t>
  </si>
  <si>
    <t>MASK FIT AI FILTER CUSHION 13N FAIR IVORY 18G</t>
  </si>
  <si>
    <t>8800288640286</t>
  </si>
  <si>
    <t>MASK FIT AI FILTER CUSHION 15C FAIR PORCELAIN 18G</t>
  </si>
  <si>
    <t>8800288640309</t>
  </si>
  <si>
    <t>MASK FIT AI FILTER CUSHION 17N VANILLA 18G</t>
  </si>
  <si>
    <t>8800288640330</t>
  </si>
  <si>
    <t>MASK FIT AI FILTER CUSHION 19C PETAL 18G</t>
  </si>
  <si>
    <t>8800288640347</t>
  </si>
  <si>
    <t>MASK FIT AURA CUSHION 15C FAIR PORCELAIN 18G</t>
  </si>
  <si>
    <t>8809928136844</t>
  </si>
  <si>
    <t>MASK FIT AURA CUSHION 24W SOFT BEIGE 18G</t>
  </si>
  <si>
    <t>8809928136608</t>
  </si>
  <si>
    <t>MASK FIT AURA CUSHION 27C COOL BEIGE 18G</t>
  </si>
  <si>
    <t>8809928136882</t>
  </si>
  <si>
    <t>MASK FIT AURA CUSHION 51N FUDGE 18G</t>
  </si>
  <si>
    <t>8809928136936</t>
  </si>
  <si>
    <t>MASK FIT RED CUSHION 10C SHELL 18G</t>
  </si>
  <si>
    <t>8809928137384</t>
  </si>
  <si>
    <t>MASK FIT RED CUSHION 13W CREAM 18G</t>
  </si>
  <si>
    <t>8809928137391</t>
  </si>
  <si>
    <t>MASK FIT RED CUSHION 21C COOL IVORY 18G</t>
  </si>
  <si>
    <t>8809928134888</t>
  </si>
  <si>
    <t>MASK FIT RED CUSHION 21N IVORY (MINI) 4.5G</t>
  </si>
  <si>
    <t>8809679697496</t>
  </si>
  <si>
    <t>MASK FIT RED CUSHION 21N IVORY 18G</t>
  </si>
  <si>
    <t>8809679696451</t>
  </si>
  <si>
    <t>MASK FIT RED CUSHION 21W NATURAL IVORY 18G</t>
  </si>
  <si>
    <t>8809928133867</t>
  </si>
  <si>
    <t>MASK FIT RED CUSHION 22W SHEER BEIGE 18G</t>
  </si>
  <si>
    <t>8809928137421</t>
  </si>
  <si>
    <t>MASK FIT RED CUSHION 23N SAND 18G</t>
  </si>
  <si>
    <t>8809679696468</t>
  </si>
  <si>
    <t>MASK FIT RED CUSHION 24W SOFT BEIGE 18G</t>
  </si>
  <si>
    <t>8809928133874</t>
  </si>
  <si>
    <t>MASK FIT RED CUSHION 27C COOL BEIGE 18G</t>
  </si>
  <si>
    <t>8809928135830</t>
  </si>
  <si>
    <t>MASK FIT RED CUSHION 27N CAMEL 18G</t>
  </si>
  <si>
    <t>8809928133287</t>
  </si>
  <si>
    <t>MASK FIT RED CUSHION 28N OAT 18G</t>
  </si>
  <si>
    <t>8809928137438</t>
  </si>
  <si>
    <t>MASK FIT RED CUSHION 29C TAUPE BEIGE 18G</t>
  </si>
  <si>
    <t>8809928137445</t>
  </si>
  <si>
    <t>MASK FIT RED CUSHION 30N RICH HONEY 18G</t>
  </si>
  <si>
    <t>8809928135847</t>
  </si>
  <si>
    <t>MASK FIT RED CUSHION 31N FRENCH BEIGE 18G</t>
  </si>
  <si>
    <t>8809928135854</t>
  </si>
  <si>
    <t>MASK FIT RED CUSHION 33C HAZEL 18G</t>
  </si>
  <si>
    <t>8809928134895</t>
  </si>
  <si>
    <t>MASK FIT RED CUSHION 33N MACCHIATO 18G</t>
  </si>
  <si>
    <t>8809928134901</t>
  </si>
  <si>
    <t>MASK FIT RED CUSHION 33W GINGER 18G</t>
  </si>
  <si>
    <t>8809928135861</t>
  </si>
  <si>
    <t>MASK FIT RED CUSHION 34C AMBER 18G</t>
  </si>
  <si>
    <t>8809928135878</t>
  </si>
  <si>
    <t>MASK FIT RED CUSHION 34N PECAN 18G</t>
  </si>
  <si>
    <t>8809928135885</t>
  </si>
  <si>
    <t>MASK FIT RED CUSHION 34W TOFFEE 18G</t>
  </si>
  <si>
    <t>8809928135892</t>
  </si>
  <si>
    <t>MASK FIT RED CUSHION 35N WALNUT 18G</t>
  </si>
  <si>
    <t>8809928134918</t>
  </si>
  <si>
    <t>MASK FIT RED CUSHION 40N CINNAMON 18G</t>
  </si>
  <si>
    <t>8809928134925</t>
  </si>
  <si>
    <t>MASK FIT RED CUSHION 45N SADDLE BROWN 18G</t>
  </si>
  <si>
    <t>8809928137452</t>
  </si>
  <si>
    <t>MASK FIT RED CUSHION 45W CHESTNUT 18G</t>
  </si>
  <si>
    <t>8809928137469</t>
  </si>
  <si>
    <t>MASK FIT RED CUSHION 47N EBONY 18G</t>
  </si>
  <si>
    <t>8809928137476</t>
  </si>
  <si>
    <t>MASK FIT RED CUSHION 51N FUDGE 18G</t>
  </si>
  <si>
    <t>8809928135915</t>
  </si>
  <si>
    <t>MASK FIT RED FOUNDATION 15C FAIR PORCELAIN 30ML</t>
  </si>
  <si>
    <t>8800288642501</t>
  </si>
  <si>
    <t>MASK FIT RED FOUNDATION 17N VANILLA 30ML</t>
  </si>
  <si>
    <t>8800288642525</t>
  </si>
  <si>
    <t>MASK FIT RED FOUNDATION 21C COOL IVORY 30ML</t>
  </si>
  <si>
    <t>8800288642532</t>
  </si>
  <si>
    <t>MASK FIT RED FOUNDATION 21N IVORY 30ML</t>
  </si>
  <si>
    <t>8800288642549</t>
  </si>
  <si>
    <t>MASK FIT RED FOUNDATION 21W NATURAL IVORY 30ML</t>
  </si>
  <si>
    <t>8800288642556</t>
  </si>
  <si>
    <t>MASK FIT RED FOUNDATION 23N SAND 30ML</t>
  </si>
  <si>
    <t>8800288642570</t>
  </si>
  <si>
    <t>MILK SKIN TONER 20ML</t>
  </si>
  <si>
    <t>8809928134451</t>
  </si>
  <si>
    <t>MILK SKIN TONER 50ML</t>
  </si>
  <si>
    <t>8809928132488</t>
  </si>
  <si>
    <t>MILK SKIN TONER LIGHT 20ML</t>
  </si>
  <si>
    <t>8809928134208</t>
  </si>
  <si>
    <t>MILK SKIN TONER LIGHT 50ML</t>
  </si>
  <si>
    <t>8809928134253</t>
  </si>
  <si>
    <t>WATERISM GLOW MELTING BALM 01 MAUVE ROSE 3.3G</t>
  </si>
  <si>
    <t>8809928135977</t>
  </si>
  <si>
    <t>WATERISM GLOW MELTING BALM 02 MERRY CORAL 3.3G</t>
  </si>
  <si>
    <t>8809928135984</t>
  </si>
  <si>
    <t>WATERISM GLOW MELTING BALM 06 HONEY NUT 3.3G</t>
  </si>
  <si>
    <t>8809928136028</t>
  </si>
  <si>
    <t>WATERISM GLOW TINT 01 MAUVE ROSE 4G</t>
  </si>
  <si>
    <t>8809928136066</t>
  </si>
  <si>
    <t>WATERISM GLOW TINT 02 MERRY CORAL 4G</t>
  </si>
  <si>
    <t>8809928136073</t>
  </si>
  <si>
    <t>WATERISM GLOW TINT 04 FIG PEACH 4G</t>
  </si>
  <si>
    <t>8809928136097</t>
  </si>
  <si>
    <t>WATERISM GLOW TINT 05 SCOTCH SHOT 4G</t>
  </si>
  <si>
    <t>8809928136103</t>
  </si>
  <si>
    <t>WATERISM GLOW TINT 06 HONEY NUT 4G</t>
  </si>
  <si>
    <t>8809928136110</t>
  </si>
  <si>
    <t>WATERISM GLOW TINT 07 CASSIS PLUM 4G</t>
  </si>
  <si>
    <t>8809928136127</t>
  </si>
  <si>
    <t>WATERISM GLOW TINT 08 SUMMER PUMPKIN 4G</t>
  </si>
  <si>
    <t>8809928136134</t>
  </si>
  <si>
    <t>WATERISM GLOW TINT 09 SALMON SYRUP 4G</t>
  </si>
  <si>
    <t>8809928136141</t>
  </si>
  <si>
    <t>WATERISM LIP PLUMPER 3.3G</t>
  </si>
  <si>
    <t>8809928136158</t>
  </si>
  <si>
    <t>UNOVE</t>
  </si>
  <si>
    <t>UNOVE NO-WASH WATER AMPOULE TREATMENT 200mL</t>
  </si>
  <si>
    <t>8809669502434</t>
  </si>
  <si>
    <t>UNOVE Silk Oil Essence 70ml Tender Bloom</t>
  </si>
  <si>
    <t>8809485532844</t>
  </si>
  <si>
    <t>UNOVE Volume Up Curling Fixer 200ml </t>
  </si>
  <si>
    <t>8809669502854</t>
  </si>
  <si>
    <t>VASELINE</t>
  </si>
  <si>
    <t>VASELINE LIP THERAPY 20G</t>
  </si>
  <si>
    <t>50064861</t>
  </si>
  <si>
    <t>Poland</t>
  </si>
  <si>
    <t>VICHY</t>
  </si>
  <si>
    <t>VICHY Déodorant anti-transpirant bille 50mlx2</t>
  </si>
  <si>
    <t>3433425000640</t>
  </si>
  <si>
    <t>VICHY DEO LOT*2 BILLE AT ANTI TRACE 50ML</t>
  </si>
  <si>
    <t>3433425095462</t>
  </si>
  <si>
    <t>VICHY DEO LOT*2 BILLE AT INTENSE 48H 50ML</t>
  </si>
  <si>
    <t>3433425000596</t>
  </si>
  <si>
    <t>VICHY DETRANSPIRANT INTENSIF BILLE LOT DE 2</t>
  </si>
  <si>
    <t>3433425135779</t>
  </si>
  <si>
    <t>VICHY Deodorant 48H Peaux Sensibles ou Epilees Roll-On 2 x50 ml</t>
  </si>
  <si>
    <t>3337871324728</t>
  </si>
  <si>
    <t>Vichy detranspirant intensif 72 h bille lot de 2</t>
  </si>
  <si>
    <t>3337871324711</t>
  </si>
  <si>
    <t>VICHY Deodorant 96H Clinical Control Detranspirant Roll-On2*50ml</t>
  </si>
  <si>
    <t>3337875805728</t>
  </si>
  <si>
    <t>VICHY Homme Deodorant Anti-Odeur 96H Roll-On Lot de 2 x50ml</t>
  </si>
  <si>
    <t>3337875805896</t>
  </si>
  <si>
    <t>VICHY DEO LOT*2 BILLE MINERAL 48H 50ML</t>
  </si>
  <si>
    <t>3433425202792</t>
  </si>
  <si>
    <t>Vichy Homme Déodorant Anti-Transpirant 48H Anti Trace 50ml*2"</t>
  </si>
  <si>
    <t>3433425221649</t>
  </si>
  <si>
    <t>VICHY SHAMPOO 200ML</t>
  </si>
  <si>
    <t>3337871330286</t>
  </si>
  <si>
    <t>vt cosmetics</t>
  </si>
  <si>
    <t>vt cosmetics Reedle Shot 300</t>
  </si>
  <si>
    <t>8809695678431</t>
  </si>
  <si>
    <t>k-secrt</t>
  </si>
  <si>
    <t>k-secrt seoul 1988 cream: retinol liposome 1%</t>
  </si>
  <si>
    <t>88099695240584</t>
  </si>
  <si>
    <t>k-secret seoul 1988 serum 30ml</t>
  </si>
  <si>
    <t>8809695240508</t>
  </si>
  <si>
    <t>k-secret seoul 1988 cleansing foam 150ml</t>
  </si>
  <si>
    <t>8809695240553</t>
  </si>
  <si>
    <t>k-secret seoul 1988 cream snail mucin 93% + rice</t>
  </si>
  <si>
    <t>8809695240591</t>
  </si>
  <si>
    <t>k-secret seoul 1988 essence 100ml</t>
  </si>
  <si>
    <t>8809695240515</t>
  </si>
  <si>
    <t>k-secret seoul 1988 sun pine tree + ceramide 500 ml</t>
  </si>
  <si>
    <t>8809695240492</t>
  </si>
  <si>
    <t>k-secrt seoul 1988 cream: retinol liposome 4%</t>
  </si>
  <si>
    <t>8809695240577</t>
  </si>
  <si>
    <t>k-secret seoul 1988 cleansing oil 150ml</t>
  </si>
  <si>
    <t>880965240560</t>
  </si>
  <si>
    <t>CALAMINE 30 DAYS SECRET TONER (RENEWAL) 160ML</t>
  </si>
  <si>
    <t>8809695240263</t>
  </si>
  <si>
    <t>CALAMINE DERMA SECRET CREAM 50ML</t>
  </si>
  <si>
    <t>8809990034796</t>
  </si>
  <si>
    <t>CALAMINE DERMA SECRET MASK 25G (1EA)</t>
  </si>
  <si>
    <t>8809695240249</t>
  </si>
  <si>
    <t>CALAMINE DERMA SECRET SERUM 50ML</t>
  </si>
  <si>
    <t>8809695240232</t>
  </si>
  <si>
    <t>CALAMINE SECRET BAR 100G</t>
  </si>
  <si>
    <t>8809990034727</t>
  </si>
  <si>
    <t>SEOUL 1988 ADVANCED SHOT : RETINAL LIPOSOME 12% + BLACK RICE 15ML</t>
  </si>
  <si>
    <t>8809695240676</t>
  </si>
  <si>
    <t>SEOUL 1988 BOOSTING BALL : COLLAGEN 100% 35MG *7</t>
  </si>
  <si>
    <t>8809695240607</t>
  </si>
  <si>
    <t>SEOUL 1988 BOOSTING SERUM : COLLAGEN COMPLEX 7 + RED GINSENG 30ML</t>
  </si>
  <si>
    <t>8809695240638</t>
  </si>
  <si>
    <t>SEOUL 1988 CAPSULE CREAM : NIACINAMIDE 5% + YUJA 50ML</t>
  </si>
  <si>
    <t>8809695240614</t>
  </si>
  <si>
    <t>SEOUL 1988 CLEANSING OIL : PINE CICA 1% + PROBIOTICS 200ML</t>
  </si>
  <si>
    <t>8809695240560</t>
  </si>
  <si>
    <t>SEOUL 1988 CREAM : RETINAL LIPOSOME 1% + FERMENTED RICE 50ML</t>
  </si>
  <si>
    <t>8809695240584</t>
  </si>
  <si>
    <t>SEOUL 1988 MULTI BALM : COLLAGEN COMPLEX 7 + PLUM 10.7G</t>
  </si>
  <si>
    <t>8809695240690</t>
  </si>
  <si>
    <t>SEOUL 1988 REFINING PAD : C-RETINAL + BAMBOO 310G (70PADS)</t>
  </si>
  <si>
    <t>8809695240782</t>
  </si>
  <si>
    <t>SEOUL 1988 REPAIR CREAM : NIACICA 20% + MUGWORT 50ML</t>
  </si>
  <si>
    <t>8809695240720</t>
  </si>
  <si>
    <t>SEOUL 1988 SLEEPING MASK : COLLAGEN COMPLEX 7 + RED BEAN 60ML</t>
  </si>
  <si>
    <t>8809695240706</t>
  </si>
  <si>
    <t>SEOUL 1988 SUN : COLLAGEN COMPLEX 7 + PLUM 50ML</t>
  </si>
  <si>
    <t>8809695240669</t>
  </si>
  <si>
    <t>AXIS-Y</t>
  </si>
  <si>
    <t>AXIS-Y Complete No-srtess physical Suncreen</t>
  </si>
  <si>
    <t>8809634610119</t>
  </si>
  <si>
    <t>AXIS Y TXA 2.5% Intensive Brightening Cream 50mL</t>
  </si>
  <si>
    <t>8809634611178</t>
  </si>
  <si>
    <t>Axis-Y Quinoa One Step Balanced Gel Cleanser 180ml</t>
  </si>
  <si>
    <t>8809634610027</t>
  </si>
  <si>
    <t>Axis-Y Dark Spot Correcting Glow Toner 125ml</t>
  </si>
  <si>
    <t>8809634610959</t>
  </si>
  <si>
    <t>AXIS-Y Vegan Collagen Eye Serum10ml</t>
  </si>
  <si>
    <t>8809634610881</t>
  </si>
  <si>
    <t>AXIS-Y-DARK SPOT CORRECTING GLOW SERUM</t>
  </si>
  <si>
    <t>8809634610034</t>
  </si>
  <si>
    <t>ARTICHOKE INTENSIVE SKIN BARRIER AMPOULE 30ML</t>
  </si>
  <si>
    <t>8809115027917</t>
  </si>
  <si>
    <t>BIOME COMFORTING INFUSED TONER 200ML</t>
  </si>
  <si>
    <t>8809634610294</t>
  </si>
  <si>
    <t>BIOME RESETTING MORINGA CLEANSING OIL 200ML</t>
  </si>
  <si>
    <t>8809634610508</t>
  </si>
  <si>
    <t>BIOME ULTIMATE INDULGING CREAM 55ML</t>
  </si>
  <si>
    <t>8809634610522</t>
  </si>
  <si>
    <t>CERA-HEART MY TYPE DUO CREAM 60ML</t>
  </si>
  <si>
    <t>8809634610041</t>
  </si>
  <si>
    <t>DAILY PURIFYING TREATMENT TONER 200ML</t>
  </si>
  <si>
    <t>8809115027924</t>
  </si>
  <si>
    <t>MASK NOW GLOW LATER DUO SET</t>
  </si>
  <si>
    <t>8809634610201</t>
  </si>
  <si>
    <t>MUGWORT PORE CLARIFYING WASH OFF PACK 100ML</t>
  </si>
  <si>
    <t>8809634610102</t>
  </si>
  <si>
    <t>PANTHENOL 10 SKIN SMOOTHING SHIELD CREAM 50ML</t>
  </si>
  <si>
    <t>8809634610683</t>
  </si>
  <si>
    <t>SPOT THE DIFFERENCE BLEMISH TREATMENT 15ML</t>
  </si>
  <si>
    <t>8809634610249</t>
  </si>
  <si>
    <t>SUNDAY MORNING REFRESHING CLEANSING FOAM 120ML</t>
  </si>
  <si>
    <t>8809634610096</t>
  </si>
  <si>
    <t>Vita Glow Lip Oil - Chilled Berry 4.5g</t>
  </si>
  <si>
    <t>8809634611093</t>
  </si>
  <si>
    <t>Vita Glow Lip Oil - Cozy Fig 4.5g</t>
  </si>
  <si>
    <t>8809634611109</t>
  </si>
  <si>
    <t>Vita Glow Lip Oil - Dreamy Olive 4.5g</t>
  </si>
  <si>
    <t>8809634611086</t>
  </si>
  <si>
    <t>BEAUTY OF JOESON</t>
  </si>
  <si>
    <t>BEAUTY OF JOESON RELIEF SUN RICE PROBOTICS SPF 50+</t>
  </si>
  <si>
    <t>8809782555508</t>
  </si>
  <si>
    <t>24.5-25</t>
  </si>
  <si>
    <t>JOSEON-RICE +B5 AQUA FRESH RELIEF SUN+ 50ml</t>
  </si>
  <si>
    <t>8809968130277</t>
  </si>
  <si>
    <t>JOSEON-RICE +PROBIOTICS RELIEF EYE SERUM</t>
  </si>
  <si>
    <t>8809738316146</t>
  </si>
  <si>
    <t>APRICOT BLOSSOM PEELING GEL 100ML</t>
  </si>
  <si>
    <t>8809738312872</t>
  </si>
  <si>
    <t>CALMING SERUM : GREEN TEA + PANTHENOL 30ML</t>
  </si>
  <si>
    <t>8809738316412</t>
  </si>
  <si>
    <t>CENTELLA ASIATICA CALMING MASK 25ML (1EA)</t>
  </si>
  <si>
    <t>8809525246014</t>
  </si>
  <si>
    <t>GINSENG CLEANSING OIL 210ML</t>
  </si>
  <si>
    <t>8809968130130</t>
  </si>
  <si>
    <t>GLOW DEEP SERUM : RICE + ALPHA-ARBUTIN 30ML</t>
  </si>
  <si>
    <t>8809738312728</t>
  </si>
  <si>
    <t>GLOW SERUM : PROPOLIS + NIACINAMIDE 30ML</t>
  </si>
  <si>
    <t>8809657114960</t>
  </si>
  <si>
    <t>GREEN PLUM REFRESHING TONER : AHA + BHA 150ML</t>
  </si>
  <si>
    <t>8809968130123</t>
  </si>
  <si>
    <t>PORE REFINING DUO SET</t>
  </si>
  <si>
    <t>8809968136156</t>
  </si>
  <si>
    <t>RED BEAN REFRESHING PORE MASK 140ML</t>
  </si>
  <si>
    <t>8809738316986</t>
  </si>
  <si>
    <t>RED BEAN WATER GEL 100ML</t>
  </si>
  <si>
    <t>8809738316993</t>
  </si>
  <si>
    <t>REVIVE FIRMING MOISTURIZER 60ML</t>
  </si>
  <si>
    <t>8809968133193</t>
  </si>
  <si>
    <t>REVIVE SERUM : GINSENG + SNAIL MUCIN 30ML</t>
  </si>
  <si>
    <t>8809738316139</t>
  </si>
  <si>
    <t>COSRX</t>
  </si>
  <si>
    <t>COSRX-SALICYLIC ACID DAILY GENTLE CLEANSER</t>
  </si>
  <si>
    <t>8809416471112</t>
  </si>
  <si>
    <t>COSRX-LOW PH GOOD MORNING GEL CLEANSER HPC 150ml</t>
  </si>
  <si>
    <t>8809416470511</t>
  </si>
  <si>
    <t>COSRX THE CERAMIDE SKIN BARRIER MOSITURIZING MIST 120ML</t>
  </si>
  <si>
    <t>8800311120822</t>
  </si>
  <si>
    <t>Cosrx Advance Snail 92 All in one Cream</t>
  </si>
  <si>
    <t>8809416470016</t>
  </si>
  <si>
    <t>COSRX-ADVANCED SNAIL 96 MUCIN POWER ESSENCE</t>
  </si>
  <si>
    <t>8809416470009</t>
  </si>
  <si>
    <t>COSRX-ADVANCED SNAIL RADIANCE DUAL ESSENCE</t>
  </si>
  <si>
    <t>8809598452053</t>
  </si>
  <si>
    <t>The 6 Peptide Skin Booster Serum</t>
  </si>
  <si>
    <t>8809598455658</t>
  </si>
  <si>
    <t>COSRX-HYALURONIC ACID INTENSIVE CREAM</t>
  </si>
  <si>
    <t>8809416470122</t>
  </si>
  <si>
    <t>COSRX 5 PDRN Collagen Intense Vitalizing Serum</t>
  </si>
  <si>
    <t>8800311121423</t>
  </si>
  <si>
    <t>COSRX ALOE SOTTHING SUN CREAM   50ML</t>
  </si>
  <si>
    <t>8809416470191</t>
  </si>
  <si>
    <t>COSRX-THE NIACINAMIDE 15 SERUM</t>
  </si>
  <si>
    <t>8809598454637</t>
  </si>
  <si>
    <t>AC COLLECTION ULTIMATE SPOT CREAM 2.0 30G</t>
  </si>
  <si>
    <t>8809598450165</t>
  </si>
  <si>
    <t>ACNE PIMPLE MASTER PATCH 1EA (24PATCHES)</t>
  </si>
  <si>
    <t>8809416470245</t>
  </si>
  <si>
    <t>ADVANCED SNAIL MUCIN GEL CLEANSER 150ML</t>
  </si>
  <si>
    <t>8809598452350</t>
  </si>
  <si>
    <t>AHA/BHA CLARIFYING TREATMENT TONER 150ML</t>
  </si>
  <si>
    <t>8809416470030</t>
  </si>
  <si>
    <t>RED RICE INOSITOL EXFOLIATING CARE PORE PEEL SERUM_80ML</t>
  </si>
  <si>
    <t>8800311121775</t>
  </si>
  <si>
    <t>THE ALPHA-ARBUTIN DISCOLORATION CARE HYDROGEL MASK 34G (1EA)</t>
  </si>
  <si>
    <t>8809598457256</t>
  </si>
  <si>
    <t>THE ALPHA-ARBUTIN DISCOLORATION CARE HYDROGEL MASK 34G (3EA)</t>
  </si>
  <si>
    <t>8809598457249</t>
  </si>
  <si>
    <t>THE PEPTIDE COLLAGEN LIFTING GLOW HYDROGEL MASK 34G (1EA)</t>
  </si>
  <si>
    <t>8809598457263</t>
  </si>
  <si>
    <t>THE PEPTIDE COLLAGEN LIFTING GLOW HYDROGEL MASK 34G (3EA)</t>
  </si>
  <si>
    <t>8809598457232</t>
  </si>
  <si>
    <t>THE RETINOL 0.1 CREAM 20ML</t>
  </si>
  <si>
    <t>8809598454781</t>
  </si>
  <si>
    <t>Dr.Melaxin</t>
  </si>
  <si>
    <t>Dr.Melaxin Peel Shot Keratin Care Kojic Acid Turmeric Spray 200ml</t>
  </si>
  <si>
    <t>8809886482809</t>
  </si>
  <si>
    <t>Dr.Melaxin Peel Shot Exfoliating Szérum - Kojic Acid Turmeric 80ml</t>
  </si>
  <si>
    <t>8809886482946</t>
  </si>
  <si>
    <t>PANOXYL</t>
  </si>
  <si>
    <t>PANOXYL ACNE FOAMING WASH 10%</t>
  </si>
  <si>
    <t>303160228551</t>
  </si>
  <si>
    <t>PANOXYL-ACNE FOAMING WASH BENZOYL PEROXIDE 4%</t>
  </si>
  <si>
    <t>303160227066</t>
  </si>
  <si>
    <t>APLB</t>
  </si>
  <si>
    <t>AZELAIC ACID PEPTIDE FACIAL CREAM 55ML</t>
  </si>
  <si>
    <t>8809874684185</t>
  </si>
  <si>
    <t>EXOSOME NIACINAMIDE EX SERUM 40ML</t>
  </si>
  <si>
    <t>8809874685373</t>
  </si>
  <si>
    <t>GLUTATHIONE NIACINAMIDE AMPOULE SERUM 40ML</t>
  </si>
  <si>
    <t>8809874682679</t>
  </si>
  <si>
    <t>GLUTATHIONE NIACINAMIDE FACIAL CREAM 55ML</t>
  </si>
  <si>
    <t>8809874682686</t>
  </si>
  <si>
    <t>KOJIC ACID VITAMIN C AMPOULE SERUM 40ML</t>
  </si>
  <si>
    <t>8809874684130</t>
  </si>
  <si>
    <t>KOJIC ACID VITAMIN C FACIAL CREAM 55ML</t>
  </si>
  <si>
    <t>8809874684291</t>
  </si>
  <si>
    <t>PDRN VITAMIN C FACIAL CREAM 55ML</t>
  </si>
  <si>
    <t>8809874685069</t>
  </si>
  <si>
    <t>RETINOL VITAMIN C VITAMIN E AMPOULE SERUM 40ML</t>
  </si>
  <si>
    <t>8809874683126</t>
  </si>
  <si>
    <t>RETINOL VITAMIN C VITAMIN E FACIAL CREAM 55ML</t>
  </si>
  <si>
    <t>8809874683171</t>
  </si>
  <si>
    <t>TRANEXAMIC ACID NIACINAMIDE AMPOULE SERUM 40ML</t>
  </si>
  <si>
    <t>8809874683874</t>
  </si>
  <si>
    <t>TRANEXAMIC ACID NIACINAMIDE FACIAL CREAM 55ML</t>
  </si>
  <si>
    <t>8809874683904</t>
  </si>
  <si>
    <t>ZELAIC ACID PEPTIDE AMPOULE SERUM 40ML</t>
  </si>
  <si>
    <t>8809874684024</t>
  </si>
  <si>
    <t>Aromatica</t>
  </si>
  <si>
    <t>ROSEMARY SCALP SCALING SHAMPOO 180ML</t>
  </si>
  <si>
    <t>8809151133504</t>
  </si>
  <si>
    <t>ROSEMARY SCALP SCALING SHAMPOO 400ML</t>
  </si>
  <si>
    <t>8809238962706</t>
  </si>
  <si>
    <t>BEAUTY OF JOSEON</t>
  </si>
  <si>
    <t>BEPLAIN</t>
  </si>
  <si>
    <t>MUNG BEAN COOLING &amp; SLIM FACE MASK 20ML (1EA)</t>
  </si>
  <si>
    <t>8809623944027</t>
  </si>
  <si>
    <t>BIOHEAL BOH</t>
  </si>
  <si>
    <t>PROBIODERM 3D LIFTING FULL FACE TENSION GEL MASK 25G (1EA)</t>
  </si>
  <si>
    <t>8809496775315</t>
  </si>
  <si>
    <t>By Wishtrend</t>
  </si>
  <si>
    <t>MANDELIC ACID GENTLE EXFOLIATING TONER 30ML</t>
  </si>
  <si>
    <t>8809572890611</t>
  </si>
  <si>
    <t>COLORGRAM</t>
  </si>
  <si>
    <t>FRUITY GLASS TINT 00 PEARL GLOSS 3G</t>
  </si>
  <si>
    <t>8809506705042</t>
  </si>
  <si>
    <t>FRUITY GLASS TINT 02 DEWY GRAPEFRUIT 3G</t>
  </si>
  <si>
    <t>8809506705066</t>
  </si>
  <si>
    <t>FRUITY GLASS TINT 03 SODA COOL PEACH 3G</t>
  </si>
  <si>
    <t>8809506705073</t>
  </si>
  <si>
    <t>FRUITY GLASS TINT 04 ADORABLE BERRY 3G</t>
  </si>
  <si>
    <t>8809506705080</t>
  </si>
  <si>
    <t>FRUITY GLASS TINT 05 SWEET PERSIMMON 3G</t>
  </si>
  <si>
    <t>8809506705318</t>
  </si>
  <si>
    <t>FRUITY GLASS TINT 08 LOVELY RASPBERRY 3G</t>
  </si>
  <si>
    <t>8809506705349</t>
  </si>
  <si>
    <t>FRUITY GLASS TINT 1004 PINK GLOSS 3G</t>
  </si>
  <si>
    <t>8809506705608</t>
  </si>
  <si>
    <t>FRUITY GLASS TINT 13 SHY PEAR 3G</t>
  </si>
  <si>
    <t>8809506706872</t>
  </si>
  <si>
    <t>FRUITY GLASS TINT 14 SULKY LYCHEE 3G</t>
  </si>
  <si>
    <t>8809506706889</t>
  </si>
  <si>
    <t>FRUITY GLASS TINT 16 MOCHI LIGHT PINK 3G</t>
  </si>
  <si>
    <t>8809506707336</t>
  </si>
  <si>
    <t>FRUITY GLASS TINT 17 TICKING APPLE 3G</t>
  </si>
  <si>
    <t>8809506707374</t>
  </si>
  <si>
    <t>FRUITY GLASS TINT 18 CHERRY VILLAIN 3G</t>
  </si>
  <si>
    <t>8809506707381</t>
  </si>
  <si>
    <t>FRUITY GLASS TINT 19 PLUM BOMB 3G</t>
  </si>
  <si>
    <t>8809506708098</t>
  </si>
  <si>
    <t>TINTIN DORY LIP JAM 01 SHINE MUSCAT JAM 3.5G</t>
  </si>
  <si>
    <t>8800353601426</t>
  </si>
  <si>
    <t>Tintin Dory Lip Jam 04 Grapefruit Jam</t>
  </si>
  <si>
    <t>8800353601433</t>
  </si>
  <si>
    <t>TINTIN DORY LIP JAM 04 GRAPEFRUIT JAM 3.5G</t>
  </si>
  <si>
    <t>8809506706322</t>
  </si>
  <si>
    <t>TINTIN DORY LIP JAM 05 WATERMELON JAM 3.5G</t>
  </si>
  <si>
    <t>8800353601440</t>
  </si>
  <si>
    <t>8809506706339</t>
  </si>
  <si>
    <t>TINTIN DORY LIP JAM 07 FIG JAM 3.5G</t>
  </si>
  <si>
    <t>8800353601464</t>
  </si>
  <si>
    <t>D ALBA</t>
  </si>
  <si>
    <t>AIR FIT FRESH SUN STICK SPF50+ PA++++</t>
  </si>
  <si>
    <t>8809782556574</t>
  </si>
  <si>
    <t>AROMATIC SPRAY SERUM</t>
  </si>
  <si>
    <t>8809563067770</t>
  </si>
  <si>
    <t>DOUBLE SERUM ALL IN ONE MULTI BALM</t>
  </si>
  <si>
    <t>8809782555355</t>
  </si>
  <si>
    <t>PLUMPING LIP GLOW MOOD VOLUMIZER FEEBLE PINK</t>
  </si>
  <si>
    <t>8809971488518</t>
  </si>
  <si>
    <t>PLUMPING LIP GLOW MOOD VOLUMIZER PETAL ROSE</t>
  </si>
  <si>
    <t>8809971488532</t>
  </si>
  <si>
    <t>PLUMPING LIP GLOW MOOD VOLUMIZER POSH ROSE</t>
  </si>
  <si>
    <t>8809971488525</t>
  </si>
  <si>
    <t>WHITE TRUFFLE FIRST SPRAY SERUM 50ML</t>
  </si>
  <si>
    <t>8809563069156</t>
  </si>
  <si>
    <t>Dr.Reju-All</t>
  </si>
  <si>
    <t>ADVANCED PDRN REJUVENATING CREAM 20ML</t>
  </si>
  <si>
    <t>8800330330011</t>
  </si>
  <si>
    <t>ADVANCED PDRN REJUVENATING LIP SERUM 10ML</t>
  </si>
  <si>
    <t>8800330330349</t>
  </si>
  <si>
    <t>ADVANCED PDRN REJUVENATING MASK 36ML (4EA)</t>
  </si>
  <si>
    <t>8800330330370</t>
  </si>
  <si>
    <t>ADVANCED RETINO-MELA SERUM 30ML</t>
  </si>
  <si>
    <t>8800330330097</t>
  </si>
  <si>
    <t>EPII</t>
  </si>
  <si>
    <t>DOUBLE UP CREAM ECTOIN &amp; PANTHENOL 50ML</t>
  </si>
  <si>
    <t>8809518613250</t>
  </si>
  <si>
    <t>DOUBLE UP CREAM NAD+ NMN &amp; TXA 50ML</t>
  </si>
  <si>
    <t>8809518613243</t>
  </si>
  <si>
    <t>NEW SKIN TONER 145ML</t>
  </si>
  <si>
    <t>8809518613267</t>
  </si>
  <si>
    <t>EQQUALBERRY</t>
  </si>
  <si>
    <t>SWIMMING POOL TONER PADS 220ML (70PADS)</t>
  </si>
  <si>
    <t>8809875454312</t>
  </si>
  <si>
    <t>EUNYUL</t>
  </si>
  <si>
    <t>NATURAL MOISTURE MASK PACK ALOE 22ML</t>
  </si>
  <si>
    <t>8809435402081</t>
  </si>
  <si>
    <t>NATURAL MOISTURE MASK PACK COENZYME 22ML</t>
  </si>
  <si>
    <t>8809435402104</t>
  </si>
  <si>
    <t>NATURAL MOISTURE MASK PACK COLLAGEN 22ML</t>
  </si>
  <si>
    <t>8809435402128</t>
  </si>
  <si>
    <t>NATURAL MOISTURE MASK PACK CUCUMBER 22ML</t>
  </si>
  <si>
    <t>8809435402159</t>
  </si>
  <si>
    <t>NATURAL MOISTURE MASK PACK GREEN TEA 22ML</t>
  </si>
  <si>
    <t>8809435402111</t>
  </si>
  <si>
    <t>NATURAL MOISTURE MASK PACK HONEY 22ML</t>
  </si>
  <si>
    <t>8809435402166</t>
  </si>
  <si>
    <t>NATURAL MOISTURE MASK PACK PEARL 22ML</t>
  </si>
  <si>
    <t>8809435402142</t>
  </si>
  <si>
    <t>NATURAL MOISTURE MASK PACK VITAMIN 22ML</t>
  </si>
  <si>
    <t>8809435402135</t>
  </si>
  <si>
    <t>PURITY ALOE SHEET MASK 22ML</t>
  </si>
  <si>
    <t>8809435408595</t>
  </si>
  <si>
    <t>PURITY AQUA SHEET MASK 22ML</t>
  </si>
  <si>
    <t>8809435408540</t>
  </si>
  <si>
    <t>PURITY BLUEBERRY SHEET MASK 22ML</t>
  </si>
  <si>
    <t>8809435408571</t>
  </si>
  <si>
    <t>PURITY CHARCOAL SHEET MASK 22ML</t>
  </si>
  <si>
    <t>8809435408588</t>
  </si>
  <si>
    <t>PURITY COLLAGEN SHEET MASK 22ML</t>
  </si>
  <si>
    <t>8809435408533</t>
  </si>
  <si>
    <t>PURITY LEMON SHEET MASK 22ML</t>
  </si>
  <si>
    <t>8809435408564</t>
  </si>
  <si>
    <t>PURITY PEARL SHEET MASK 22ML</t>
  </si>
  <si>
    <t>8809435408557</t>
  </si>
  <si>
    <t>PURITY POMEGRANATE SHEET MASK 22ML</t>
  </si>
  <si>
    <t>8809435408601</t>
  </si>
  <si>
    <t>FWEE</t>
  </si>
  <si>
    <t>CUSHION GLASS NATURAL 00 CLEAR GLASS 15G</t>
  </si>
  <si>
    <t>8809652583235</t>
  </si>
  <si>
    <t>CUSHION GLASS NATURAL 03 NATURAL GLASS 15G</t>
  </si>
  <si>
    <t>8809652583273</t>
  </si>
  <si>
    <t>HARUHARU WONDER</t>
  </si>
  <si>
    <t>BLACK BAMBOO DAILY SOOTHING SUN SHIELD SPF50+ PA++++ 20G</t>
  </si>
  <si>
    <t>8809532221929</t>
  </si>
  <si>
    <t>BLACK RICE BAKUCHIOL EYE CREAM 20ML</t>
  </si>
  <si>
    <t>8809532221523</t>
  </si>
  <si>
    <t>BLACK RICE HYALURONIC ESSENCE 50ML</t>
  </si>
  <si>
    <t>8809532220885</t>
  </si>
  <si>
    <t>CENTELLA 4% TXA GEL SERUM 30ML</t>
  </si>
  <si>
    <t>8809532221813</t>
  </si>
  <si>
    <t>CENTELLA SUNFLOWER MAKEUP MELTING CLEANSING BALM 100G</t>
  </si>
  <si>
    <t>8809532221936</t>
  </si>
  <si>
    <t>HINCE</t>
  </si>
  <si>
    <t>MOOD ENHANCER LIP GLOW LW004 START OVER 5.5G</t>
  </si>
  <si>
    <t>8809642483477</t>
  </si>
  <si>
    <t>RAW GLOW GEL TINT R002 RAW ROSE 4ML</t>
  </si>
  <si>
    <t>8809642485228</t>
  </si>
  <si>
    <t>RAW GLOW GEL TINT R009 RAW LILAC (24 BLUE DIVE) 4ML</t>
  </si>
  <si>
    <t>8809642485563</t>
  </si>
  <si>
    <t>IM FROM</t>
  </si>
  <si>
    <t>BLACK RICE TONER 150ML</t>
  </si>
  <si>
    <t>8809525934782</t>
  </si>
  <si>
    <t>GINSENG EYE CREAM 30ML</t>
  </si>
  <si>
    <t>8809525935109</t>
  </si>
  <si>
    <t>MUGWORT SHEET MASK 23ML</t>
  </si>
  <si>
    <t>8809525932740</t>
  </si>
  <si>
    <t>RICE SERUM 30ML</t>
  </si>
  <si>
    <t>8809525930531</t>
  </si>
  <si>
    <t>RICE SHEET MASK 20ML (1EA) - RENEWAL</t>
  </si>
  <si>
    <t>8809525936250</t>
  </si>
  <si>
    <t>RICE TONER 150ML</t>
  </si>
  <si>
    <t>8809525936274</t>
  </si>
  <si>
    <t>ISNTREE</t>
  </si>
  <si>
    <t>C-NIACIN TONING CREAM 50ML</t>
  </si>
  <si>
    <t>8809187049428</t>
  </si>
  <si>
    <t>HYALURONIC ACID AIRY SUN STICK 22G</t>
  </si>
  <si>
    <t>8809800942587</t>
  </si>
  <si>
    <t>TW-REAL EYE CREAM 30ML</t>
  </si>
  <si>
    <t>8806135244911</t>
  </si>
  <si>
    <t>JUMISO</t>
  </si>
  <si>
    <t>NIACINAMIDE 20 SERUM 40ML</t>
  </si>
  <si>
    <t>8809655952236</t>
  </si>
  <si>
    <t>KLAIRS</t>
  </si>
  <si>
    <t>FRESHLY JUICED VITAMIN ESSENCE TONER 30ML</t>
  </si>
  <si>
    <t>8809572895210</t>
  </si>
  <si>
    <t>LYLYL</t>
  </si>
  <si>
    <t>NINE SECOND SUN CREAM 50ML</t>
  </si>
  <si>
    <t>8809912990025</t>
  </si>
  <si>
    <t>MIXSOON</t>
  </si>
  <si>
    <t>BEAN CREAM 50ML</t>
  </si>
  <si>
    <t>8809732910661</t>
  </si>
  <si>
    <t>BEAN EYE CREAM 20ML</t>
  </si>
  <si>
    <t>8809732912320</t>
  </si>
  <si>
    <t>SOONDY CENTELLA ASIATICA ESSENCE 100ML (RENEWAL)</t>
  </si>
  <si>
    <t>8809732910289</t>
  </si>
  <si>
    <t>ODID</t>
  </si>
  <si>
    <t>MILKPROTEIN INTENSIVE HAIR OIL FOREST HERB 100ML</t>
  </si>
  <si>
    <t>8809840600331</t>
  </si>
  <si>
    <t>SEAPURI</t>
  </si>
  <si>
    <t>SCALPY HAIR SERUM 20ML</t>
  </si>
  <si>
    <t>8809934860870</t>
  </si>
  <si>
    <t>Sungboon Editor</t>
  </si>
  <si>
    <t>Sungboon Editor Deep Collagen Melting Patch 6pcs</t>
  </si>
  <si>
    <t>8800253022383</t>
  </si>
  <si>
    <t>TEAFFERENCE</t>
  </si>
  <si>
    <t>PURPLE TEA 1ST ESSENCE EFFECT 150ML</t>
  </si>
  <si>
    <t>8809613450286</t>
  </si>
  <si>
    <t>PURPLE TEA SLEEPING PACK EFFECT 80ML</t>
  </si>
  <si>
    <t>8809613450323</t>
  </si>
  <si>
    <t>TOCOBO</t>
  </si>
  <si>
    <t>AHA BHA LEMON TONER 150ML</t>
  </si>
  <si>
    <t>8809835060003</t>
  </si>
  <si>
    <t>BIFIDA BIOME ESSENCE 50ML</t>
  </si>
  <si>
    <t>8809835060010</t>
  </si>
  <si>
    <t>POWDER CREAM LIP BALM 032 ROSE PETAL 3.5G</t>
  </si>
  <si>
    <t>8809835060119</t>
  </si>
  <si>
    <t>POWDER CREAM LIP BALM 033 CARROT CAKE 3.5G</t>
  </si>
  <si>
    <t>8809835060126</t>
  </si>
  <si>
    <t>VITA TONE UP SUN CREAM SPF50+ PA++++ 50ML</t>
  </si>
  <si>
    <t>8809835060171</t>
  </si>
  <si>
    <t>TORRIDEN</t>
  </si>
  <si>
    <t>CELLMAZING EYE CREAM 30ML</t>
  </si>
  <si>
    <t>8809784601999</t>
  </si>
  <si>
    <t>CELLMAZING VITA C BRIGHTENING AMPOULE 30ML</t>
  </si>
  <si>
    <t>8809784602002</t>
  </si>
  <si>
    <t>DIVE IN MILD SUN CREAM 60ML</t>
  </si>
  <si>
    <t>8809784600268</t>
  </si>
  <si>
    <t>DIVE IN MOISTURE SUN CREAM SPF50+ PA++++ 60ML</t>
  </si>
  <si>
    <t>8809784603955</t>
  </si>
  <si>
    <t>SOLID IN CERAMIDE CREAM 70ML</t>
  </si>
  <si>
    <t>8809784602958</t>
  </si>
  <si>
    <t>WAKEMAKE</t>
  </si>
  <si>
    <t>WATER BLURRING LAYER TINT 01 PEACH WARMTH 4.6G</t>
  </si>
  <si>
    <t>8809506708265</t>
  </si>
  <si>
    <t>WATER BLURRING LAYER TINT 02 PAIRING CORAL 4.6G</t>
  </si>
  <si>
    <t>8809506708272</t>
  </si>
  <si>
    <t>WATER BLURRING LAYER TINT 03 FLUFFY FLOWER 4.6G</t>
  </si>
  <si>
    <t>8809506708289</t>
  </si>
  <si>
    <t>WATER BLURRING LAYER TINT 05 PALE HAZE 4.6G</t>
  </si>
  <si>
    <t>8809506708302</t>
  </si>
  <si>
    <t>WATER BLURRING LAYER TINT 06 GRAFIG 4.6G</t>
  </si>
  <si>
    <t>8809506708319</t>
  </si>
  <si>
    <t>WATER BLURRING LAYER TINT 07 RED DIVE 4.6G</t>
  </si>
  <si>
    <t>8809506708326</t>
  </si>
  <si>
    <t>WATER BLURRING LAYER TINT 08 COLD HIGH 4.6G</t>
  </si>
  <si>
    <t>8809506708333</t>
  </si>
  <si>
    <t>WATERFUL GLOW TINT 01 MILKY VINE 4.6G</t>
  </si>
  <si>
    <t>8809506707770</t>
  </si>
  <si>
    <t>WATERFUL GLOW TINT 02 TEEN MELLOW 4.6G</t>
  </si>
  <si>
    <t>8809506707787</t>
  </si>
  <si>
    <t>WATERFUL GLOW TINT 03 FADED POSY 4.6G</t>
  </si>
  <si>
    <t>8809506707794</t>
  </si>
  <si>
    <t>WATERFUL GLOW TINT 04 BEIKED 4.6G</t>
  </si>
  <si>
    <t>8809506707800</t>
  </si>
  <si>
    <t>WATERFUL GLOW TINT 05 COURTNEY 4.6G</t>
  </si>
  <si>
    <t>8809506707817</t>
  </si>
  <si>
    <t>WATERFUL GLOW TINT 06 NUVE 4.6G</t>
  </si>
  <si>
    <t>8809506707824</t>
  </si>
  <si>
    <t>WATERFUL GLOW TINT 07 GRAFIG 4.6G</t>
  </si>
  <si>
    <t>8809506707831</t>
  </si>
  <si>
    <t>WATERFUL GLOW TINT 08 ROSIST 4.6G</t>
  </si>
  <si>
    <t>8809506707848</t>
  </si>
  <si>
    <t>WATERFUL GLOW TINT 09 NOUGAT TEA 4.6G</t>
  </si>
  <si>
    <t>8809506708241</t>
  </si>
  <si>
    <t>WATERFUL GLOW TINT 10 WINTERY 4.6G</t>
  </si>
  <si>
    <t>8809506708258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</si>
</sst>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176" formatCode="_ * #,##0.00_ ;_ * \-#,##0.00_ ;_ * &quot;-&quot;??_ ;_ @_ "/>
    <numFmt numFmtId="177" formatCode="_ &quot;￥&quot;* #,##0.00_ ;_ &quot;￥&quot;* \-#,##0.00_ ;_ &quot;￥&quot;* &quot;-&quot;??_ ;_ @_ "/>
    <numFmt numFmtId="178" formatCode="_ * #,##0_ ;_ * \-#,##0_ ;_ * &quot;-&quot;_ ;_ @_ "/>
    <numFmt numFmtId="179" formatCode="_ &quot;￥&quot;* #,##0_ ;_ &quot;￥&quot;* \-#,##0_ ;_ &quot;￥&quot;* &quot;-&quot;_ ;_ @_ "/>
    <numFmt numFmtId="180" formatCode="0_ "/>
    <numFmt numFmtId="181" formatCode="0.0_ "/>
  </numFmts>
  <fonts count="35">
    <font>
      <sz val="11"/>
      <color theme="1"/>
      <name val="Calibri"/>
      <charset val="134"/>
      <scheme val="minor"/>
    </font>
    <font>
      <b/>
      <sz val="22"/>
      <color rgb="FF000000"/>
      <name val="Calibri"/>
      <charset val="134"/>
      <scheme val="minor"/>
    </font>
    <font>
      <sz val="18"/>
      <color theme="1"/>
      <name val="Calibri"/>
      <charset val="134"/>
      <scheme val="minor"/>
    </font>
    <font>
      <sz val="16"/>
      <color theme="1"/>
      <name val="Calibri"/>
      <charset val="134"/>
      <scheme val="minor"/>
    </font>
    <font>
      <b/>
      <sz val="16"/>
      <color theme="0"/>
      <name val="Calibri"/>
      <charset val="134"/>
      <scheme val="minor"/>
    </font>
    <font>
      <b/>
      <sz val="18"/>
      <color theme="0"/>
      <name val="Calibri"/>
      <charset val="134"/>
      <scheme val="minor"/>
    </font>
    <font>
      <b/>
      <sz val="18"/>
      <color rgb="FF000000"/>
      <name val="Calibri"/>
      <charset val="134"/>
      <scheme val="minor"/>
    </font>
    <font>
      <sz val="11"/>
      <color indexed="8"/>
      <name val="Calibri"/>
      <charset val="134"/>
      <scheme val="minor"/>
    </font>
    <font>
      <sz val="12"/>
      <color theme="1"/>
      <name val="Calibri"/>
      <charset val="134"/>
      <scheme val="minor"/>
    </font>
    <font>
      <sz val="16"/>
      <color indexed="8"/>
      <name val="Calibri"/>
      <charset val="134"/>
      <scheme val="minor"/>
    </font>
    <font>
      <sz val="18"/>
      <color rgb="FF000000"/>
      <name val="Arial"/>
      <charset val="204"/>
    </font>
    <font>
      <b/>
      <sz val="11"/>
      <color theme="1"/>
      <name val="Calibri"/>
      <charset val="134"/>
      <scheme val="minor"/>
    </font>
    <font>
      <u/>
      <sz val="11"/>
      <color theme="10"/>
      <name val="Calibri"/>
      <charset val="134"/>
      <scheme val="minor"/>
    </font>
    <font>
      <sz val="11"/>
      <color rgb="FF000000"/>
      <name val="Arial"/>
      <charset val="204"/>
    </font>
    <font>
      <sz val="18"/>
      <color indexed="8"/>
      <name val="Calibri"/>
      <charset val="134"/>
      <scheme val="minor"/>
    </font>
    <font>
      <u/>
      <sz val="11"/>
      <color rgb="FF800080"/>
      <name val="Calibri"/>
      <charset val="0"/>
      <scheme val="minor"/>
    </font>
    <font>
      <sz val="11"/>
      <color rgb="FFFF0000"/>
      <name val="Calibri"/>
      <charset val="0"/>
      <scheme val="minor"/>
    </font>
    <font>
      <b/>
      <sz val="18"/>
      <color theme="3"/>
      <name val="Calibri"/>
      <charset val="134"/>
      <scheme val="minor"/>
    </font>
    <font>
      <i/>
      <sz val="11"/>
      <color rgb="FF7F7F7F"/>
      <name val="Calibri"/>
      <charset val="0"/>
      <scheme val="minor"/>
    </font>
    <font>
      <b/>
      <sz val="15"/>
      <color theme="3"/>
      <name val="Calibri"/>
      <charset val="134"/>
      <scheme val="minor"/>
    </font>
    <font>
      <b/>
      <sz val="13"/>
      <color theme="3"/>
      <name val="Calibri"/>
      <charset val="134"/>
      <scheme val="minor"/>
    </font>
    <font>
      <b/>
      <sz val="11"/>
      <color theme="3"/>
      <name val="Calibri"/>
      <charset val="134"/>
      <scheme val="minor"/>
    </font>
    <font>
      <sz val="11"/>
      <color rgb="FF3F3F76"/>
      <name val="Calibri"/>
      <charset val="0"/>
      <scheme val="minor"/>
    </font>
    <font>
      <b/>
      <sz val="11"/>
      <color rgb="FF3F3F3F"/>
      <name val="Calibri"/>
      <charset val="0"/>
      <scheme val="minor"/>
    </font>
    <font>
      <b/>
      <sz val="11"/>
      <color rgb="FFFA7D00"/>
      <name val="Calibri"/>
      <charset val="0"/>
      <scheme val="minor"/>
    </font>
    <font>
      <b/>
      <sz val="11"/>
      <color rgb="FFFFFFFF"/>
      <name val="Calibri"/>
      <charset val="0"/>
      <scheme val="minor"/>
    </font>
    <font>
      <sz val="11"/>
      <color rgb="FFFA7D00"/>
      <name val="Calibri"/>
      <charset val="0"/>
      <scheme val="minor"/>
    </font>
    <font>
      <b/>
      <sz val="11"/>
      <color theme="1"/>
      <name val="Calibri"/>
      <charset val="0"/>
      <scheme val="minor"/>
    </font>
    <font>
      <sz val="11"/>
      <color rgb="FF006100"/>
      <name val="Calibri"/>
      <charset val="0"/>
      <scheme val="minor"/>
    </font>
    <font>
      <sz val="11"/>
      <color rgb="FF9C0006"/>
      <name val="Calibri"/>
      <charset val="0"/>
      <scheme val="minor"/>
    </font>
    <font>
      <sz val="11"/>
      <color rgb="FF9C6500"/>
      <name val="Calibri"/>
      <charset val="0"/>
      <scheme val="minor"/>
    </font>
    <font>
      <sz val="11"/>
      <color theme="0"/>
      <name val="Calibri"/>
      <charset val="0"/>
      <scheme val="minor"/>
    </font>
    <font>
      <sz val="11"/>
      <color theme="1"/>
      <name val="Calibri"/>
      <charset val="0"/>
      <scheme val="minor"/>
    </font>
    <font>
      <sz val="9"/>
      <name val="SimSun"/>
      <charset val="134"/>
    </font>
    <font>
      <b/>
      <sz val="9"/>
      <name val="SimSun"/>
      <charset val="134"/>
    </font>
  </fonts>
  <fills count="37">
    <fill>
      <patternFill patternType="none"/>
    </fill>
    <fill>
      <patternFill patternType="gray125"/>
    </fill>
    <fill>
      <patternFill patternType="solid">
        <fgColor theme="4" tint="0.6"/>
        <bgColor indexed="64"/>
      </patternFill>
    </fill>
    <fill>
      <patternFill patternType="solid">
        <fgColor rgb="FFF04A8C"/>
        <bgColor indexed="64"/>
      </patternFill>
    </fill>
    <fill>
      <patternFill patternType="solid">
        <fgColor theme="7" tint="0.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/>
    <xf numFmtId="176" fontId="0" fillId="0" borderId="0" applyFont="0" applyFill="0" applyBorder="0" applyAlignment="0" applyProtection="0">
      <alignment vertical="center"/>
    </xf>
    <xf numFmtId="177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178" fontId="0" fillId="0" borderId="0" applyFont="0" applyFill="0" applyBorder="0" applyAlignment="0" applyProtection="0">
      <alignment vertical="center"/>
    </xf>
    <xf numFmtId="179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/>
    <xf numFmtId="0" fontId="15" fillId="0" borderId="0" applyNumberFormat="0" applyFill="0" applyBorder="0" applyAlignment="0" applyProtection="0">
      <alignment vertical="center"/>
    </xf>
    <xf numFmtId="0" fontId="0" fillId="6" borderId="12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13" applyNumberFormat="0" applyFill="0" applyAlignment="0" applyProtection="0">
      <alignment vertical="center"/>
    </xf>
    <xf numFmtId="0" fontId="20" fillId="0" borderId="13" applyNumberFormat="0" applyFill="0" applyAlignment="0" applyProtection="0">
      <alignment vertical="center"/>
    </xf>
    <xf numFmtId="0" fontId="21" fillId="0" borderId="14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7" borderId="15" applyNumberFormat="0" applyAlignment="0" applyProtection="0">
      <alignment vertical="center"/>
    </xf>
    <xf numFmtId="0" fontId="23" fillId="8" borderId="16" applyNumberFormat="0" applyAlignment="0" applyProtection="0">
      <alignment vertical="center"/>
    </xf>
    <xf numFmtId="0" fontId="24" fillId="8" borderId="15" applyNumberFormat="0" applyAlignment="0" applyProtection="0">
      <alignment vertical="center"/>
    </xf>
    <xf numFmtId="0" fontId="25" fillId="9" borderId="17" applyNumberFormat="0" applyAlignment="0" applyProtection="0">
      <alignment vertical="center"/>
    </xf>
    <xf numFmtId="0" fontId="26" fillId="0" borderId="18" applyNumberFormat="0" applyFill="0" applyAlignment="0" applyProtection="0">
      <alignment vertical="center"/>
    </xf>
    <xf numFmtId="0" fontId="27" fillId="0" borderId="19" applyNumberFormat="0" applyFill="0" applyAlignment="0" applyProtection="0">
      <alignment vertical="center"/>
    </xf>
    <xf numFmtId="0" fontId="28" fillId="10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2" fillId="34" borderId="0" applyNumberFormat="0" applyBorder="0" applyAlignment="0" applyProtection="0">
      <alignment vertical="center"/>
    </xf>
    <xf numFmtId="0" fontId="32" fillId="35" borderId="0" applyNumberFormat="0" applyBorder="0" applyAlignment="0" applyProtection="0">
      <alignment vertical="center"/>
    </xf>
    <xf numFmtId="0" fontId="31" fillId="36" borderId="0" applyNumberFormat="0" applyBorder="0" applyAlignment="0" applyProtection="0">
      <alignment vertical="center"/>
    </xf>
  </cellStyleXfs>
  <cellXfs count="93">
    <xf numFmtId="0" fontId="0" fillId="0" borderId="0" xfId="0"/>
    <xf numFmtId="49" fontId="1" fillId="2" borderId="1" xfId="0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Alignment="1">
      <alignment horizontal="center"/>
    </xf>
    <xf numFmtId="0" fontId="2" fillId="0" borderId="0" xfId="0" applyFont="1"/>
    <xf numFmtId="0" fontId="3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/>
    <xf numFmtId="0" fontId="4" fillId="3" borderId="2" xfId="0" applyFont="1" applyFill="1" applyBorder="1" applyAlignment="1">
      <alignment horizontal="center" vertical="center"/>
    </xf>
    <xf numFmtId="49" fontId="4" fillId="3" borderId="2" xfId="0" applyNumberFormat="1" applyFont="1" applyFill="1" applyBorder="1" applyAlignment="1">
      <alignment horizontal="center" vertical="center"/>
    </xf>
    <xf numFmtId="1" fontId="4" fillId="3" borderId="2" xfId="0" applyNumberFormat="1" applyFont="1" applyFill="1" applyBorder="1" applyAlignment="1">
      <alignment horizontal="center" vertical="center"/>
    </xf>
    <xf numFmtId="0" fontId="5" fillId="3" borderId="2" xfId="0" applyFont="1" applyFill="1" applyBorder="1" applyAlignment="1">
      <alignment horizontal="center" vertical="center"/>
    </xf>
    <xf numFmtId="0" fontId="5" fillId="3" borderId="2" xfId="0" applyFont="1" applyFill="1" applyBorder="1" applyAlignment="1">
      <alignment horizontal="center" vertical="center" wrapText="1"/>
    </xf>
    <xf numFmtId="0" fontId="4" fillId="3" borderId="2" xfId="0" applyFont="1" applyFill="1" applyBorder="1" applyAlignment="1">
      <alignment horizontal="center" vertical="center" wrapText="1"/>
    </xf>
    <xf numFmtId="49" fontId="1" fillId="2" borderId="3" xfId="0" applyNumberFormat="1" applyFont="1" applyFill="1" applyBorder="1" applyAlignment="1" applyProtection="1">
      <alignment vertical="center" wrapText="1"/>
      <protection locked="0"/>
    </xf>
    <xf numFmtId="49" fontId="6" fillId="2" borderId="3" xfId="0" applyNumberFormat="1" applyFont="1" applyFill="1" applyBorder="1" applyAlignment="1" applyProtection="1">
      <alignment vertical="center" wrapText="1"/>
      <protection locked="0"/>
    </xf>
    <xf numFmtId="49" fontId="7" fillId="0" borderId="2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2" xfId="0" applyNumberFormat="1" applyFont="1" applyBorder="1" applyAlignment="1">
      <alignment horizontal="center" vertical="center"/>
    </xf>
    <xf numFmtId="0" fontId="0" fillId="0" borderId="2" xfId="0" applyBorder="1"/>
    <xf numFmtId="0" fontId="2" fillId="0" borderId="2" xfId="0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9" fillId="4" borderId="2" xfId="0" applyFont="1" applyFill="1" applyBorder="1" applyAlignment="1">
      <alignment horizontal="center" vertical="center" wrapText="1"/>
    </xf>
    <xf numFmtId="0" fontId="8" fillId="0" borderId="2" xfId="0" applyFont="1" applyBorder="1" applyAlignment="1">
      <alignment horizontal="center" vertical="center"/>
    </xf>
    <xf numFmtId="0" fontId="3" fillId="4" borderId="2" xfId="0" applyFont="1" applyFill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49" fontId="7" fillId="0" borderId="4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4" xfId="0" applyNumberFormat="1" applyFont="1" applyBorder="1" applyAlignment="1">
      <alignment horizontal="center" vertical="center"/>
    </xf>
    <xf numFmtId="0" fontId="0" fillId="0" borderId="4" xfId="0" applyBorder="1"/>
    <xf numFmtId="0" fontId="2" fillId="0" borderId="4" xfId="0" applyFont="1" applyBorder="1" applyAlignment="1">
      <alignment horizontal="center" vertical="center"/>
    </xf>
    <xf numFmtId="0" fontId="3" fillId="0" borderId="4" xfId="0" applyFont="1" applyBorder="1" applyAlignment="1">
      <alignment horizontal="center" vertical="center"/>
    </xf>
    <xf numFmtId="0" fontId="3" fillId="4" borderId="4" xfId="0" applyFont="1" applyFill="1" applyBorder="1" applyAlignment="1">
      <alignment horizontal="center" vertical="center"/>
    </xf>
    <xf numFmtId="49" fontId="1" fillId="2" borderId="0" xfId="0" applyNumberFormat="1" applyFont="1" applyFill="1" applyBorder="1" applyAlignment="1" applyProtection="1">
      <alignment horizontal="center" vertical="center" wrapText="1"/>
      <protection locked="0"/>
    </xf>
    <xf numFmtId="49" fontId="6" fillId="2" borderId="0" xfId="0" applyNumberFormat="1" applyFont="1" applyFill="1" applyBorder="1" applyAlignment="1" applyProtection="1">
      <alignment horizontal="center" vertical="center" wrapText="1"/>
      <protection locked="0"/>
    </xf>
    <xf numFmtId="49" fontId="1" fillId="0" borderId="0" xfId="0" applyNumberFormat="1" applyFont="1" applyFill="1" applyBorder="1" applyAlignment="1" applyProtection="1">
      <alignment horizontal="center" vertical="center" wrapText="1"/>
      <protection locked="0"/>
    </xf>
    <xf numFmtId="49" fontId="1" fillId="2" borderId="3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0" applyFont="1" applyBorder="1" applyAlignment="1">
      <alignment horizontal="center" vertical="center"/>
    </xf>
    <xf numFmtId="49" fontId="7" fillId="0" borderId="5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5" xfId="0" applyNumberFormat="1" applyFont="1" applyBorder="1" applyAlignment="1">
      <alignment horizontal="center" vertical="center"/>
    </xf>
    <xf numFmtId="0" fontId="0" fillId="0" borderId="5" xfId="0" applyBorder="1"/>
    <xf numFmtId="0" fontId="2" fillId="0" borderId="5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/>
    </xf>
    <xf numFmtId="0" fontId="3" fillId="4" borderId="5" xfId="0" applyFont="1" applyFill="1" applyBorder="1" applyAlignment="1">
      <alignment horizontal="center" vertical="center"/>
    </xf>
    <xf numFmtId="49" fontId="0" fillId="0" borderId="2" xfId="0" applyNumberForma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1" xfId="0" applyFont="1" applyBorder="1" applyAlignment="1">
      <alignment horizontal="center" vertical="center"/>
    </xf>
    <xf numFmtId="49" fontId="0" fillId="0" borderId="3" xfId="0" applyNumberForma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4" borderId="3" xfId="0" applyFont="1" applyFill="1" applyBorder="1" applyAlignment="1">
      <alignment horizontal="center" vertical="center"/>
    </xf>
    <xf numFmtId="49" fontId="0" fillId="0" borderId="2" xfId="0" applyNumberFormat="1" applyBorder="1" applyAlignment="1">
      <alignment horizontal="center" vertical="center" wrapText="1"/>
    </xf>
    <xf numFmtId="0" fontId="0" fillId="0" borderId="4" xfId="0" applyBorder="1" applyAlignment="1">
      <alignment horizontal="center" vertical="center"/>
    </xf>
    <xf numFmtId="180" fontId="10" fillId="0" borderId="6" xfId="0" applyNumberFormat="1" applyFont="1" applyFill="1" applyBorder="1" applyAlignment="1">
      <alignment horizontal="center" vertical="center" wrapText="1"/>
    </xf>
    <xf numFmtId="0" fontId="11" fillId="0" borderId="2" xfId="0" applyFont="1" applyFill="1" applyBorder="1" applyAlignment="1">
      <alignment horizontal="center" vertical="center"/>
    </xf>
    <xf numFmtId="49" fontId="8" fillId="0" borderId="2" xfId="0" applyNumberFormat="1" applyFont="1" applyBorder="1" applyAlignment="1">
      <alignment horizontal="center" vertical="center"/>
    </xf>
    <xf numFmtId="0" fontId="12" fillId="0" borderId="2" xfId="6" applyBorder="1" applyAlignment="1">
      <alignment horizontal="center" vertical="center"/>
    </xf>
    <xf numFmtId="0" fontId="9" fillId="4" borderId="4" xfId="0" applyFont="1" applyFill="1" applyBorder="1" applyAlignment="1">
      <alignment horizontal="center" vertical="center" wrapText="1"/>
    </xf>
    <xf numFmtId="0" fontId="8" fillId="0" borderId="7" xfId="0" applyFont="1" applyBorder="1" applyAlignment="1">
      <alignment horizontal="center" vertical="center"/>
    </xf>
    <xf numFmtId="49" fontId="0" fillId="0" borderId="7" xfId="0" applyNumberFormat="1" applyBorder="1" applyAlignment="1">
      <alignment horizontal="center" vertical="center"/>
    </xf>
    <xf numFmtId="1" fontId="8" fillId="0" borderId="7" xfId="0" applyNumberFormat="1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2" fillId="0" borderId="7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3" fillId="4" borderId="7" xfId="0" applyFont="1" applyFill="1" applyBorder="1" applyAlignment="1">
      <alignment horizontal="center" vertical="center"/>
    </xf>
    <xf numFmtId="1" fontId="2" fillId="0" borderId="2" xfId="0" applyNumberFormat="1" applyFont="1" applyBorder="1" applyAlignment="1">
      <alignment horizontal="center" vertical="center"/>
    </xf>
    <xf numFmtId="1" fontId="3" fillId="0" borderId="2" xfId="0" applyNumberFormat="1" applyFont="1" applyBorder="1" applyAlignment="1">
      <alignment horizontal="center" vertical="center"/>
    </xf>
    <xf numFmtId="0" fontId="13" fillId="0" borderId="6" xfId="0" applyNumberFormat="1" applyFont="1" applyFill="1" applyBorder="1" applyAlignment="1">
      <alignment horizontal="left" vertical="top" wrapText="1"/>
    </xf>
    <xf numFmtId="0" fontId="13" fillId="0" borderId="2" xfId="0" applyNumberFormat="1" applyFont="1" applyFill="1" applyBorder="1" applyAlignment="1">
      <alignment horizontal="left" vertical="top" wrapText="1"/>
    </xf>
    <xf numFmtId="180" fontId="10" fillId="0" borderId="2" xfId="0" applyNumberFormat="1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0" fontId="2" fillId="4" borderId="2" xfId="0" applyFont="1" applyFill="1" applyBorder="1" applyAlignment="1">
      <alignment horizontal="center" vertical="center"/>
    </xf>
    <xf numFmtId="0" fontId="3" fillId="0" borderId="1" xfId="0" applyFont="1" applyBorder="1" applyAlignment="1">
      <alignment horizontal="center" vertical="center"/>
    </xf>
    <xf numFmtId="0" fontId="3" fillId="4" borderId="8" xfId="0" applyFont="1" applyFill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4" borderId="10" xfId="0" applyFont="1" applyFill="1" applyBorder="1" applyAlignment="1">
      <alignment horizontal="center" vertical="center"/>
    </xf>
    <xf numFmtId="0" fontId="8" fillId="0" borderId="2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0" fillId="0" borderId="3" xfId="0" applyBorder="1"/>
    <xf numFmtId="181" fontId="10" fillId="0" borderId="2" xfId="0" applyNumberFormat="1" applyFont="1" applyFill="1" applyBorder="1" applyAlignment="1">
      <alignment horizontal="center" vertical="center" wrapText="1"/>
    </xf>
    <xf numFmtId="181" fontId="10" fillId="0" borderId="6" xfId="0" applyNumberFormat="1" applyFont="1" applyFill="1" applyBorder="1" applyAlignment="1">
      <alignment horizontal="center" vertical="center" wrapText="1"/>
    </xf>
    <xf numFmtId="49" fontId="7" fillId="2" borderId="3" xfId="0" applyNumberFormat="1" applyFont="1" applyFill="1" applyBorder="1" applyAlignment="1" applyProtection="1">
      <alignment vertical="center" wrapText="1"/>
      <protection locked="0"/>
    </xf>
    <xf numFmtId="49" fontId="9" fillId="2" borderId="3" xfId="0" applyNumberFormat="1" applyFont="1" applyFill="1" applyBorder="1" applyAlignment="1" applyProtection="1">
      <alignment vertical="center" wrapText="1"/>
      <protection locked="0"/>
    </xf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49" fontId="14" fillId="2" borderId="3" xfId="0" applyNumberFormat="1" applyFont="1" applyFill="1" applyBorder="1" applyAlignment="1" applyProtection="1">
      <alignment vertical="center" wrapText="1"/>
      <protection locked="0"/>
    </xf>
    <xf numFmtId="0" fontId="8" fillId="5" borderId="2" xfId="0" applyFont="1" applyFill="1" applyBorder="1" applyAlignment="1">
      <alignment horizontal="center" vertical="center"/>
    </xf>
    <xf numFmtId="0" fontId="8" fillId="0" borderId="2" xfId="0" applyFont="1" applyFill="1" applyBorder="1" applyAlignment="1">
      <alignment horizontal="center" vertical="center"/>
    </xf>
    <xf numFmtId="49" fontId="0" fillId="0" borderId="2" xfId="0" applyNumberForma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2" fillId="0" borderId="2" xfId="0" applyNumberFormat="1" applyFont="1" applyBorder="1" applyAlignment="1">
      <alignment horizontal="center" vertical="center"/>
    </xf>
    <xf numFmtId="0" fontId="14" fillId="0" borderId="2" xfId="0" applyFont="1" applyFill="1" applyBorder="1" applyAlignment="1">
      <alignment horizontal="center" vertical="center" wrapText="1"/>
    </xf>
    <xf numFmtId="49" fontId="0" fillId="0" borderId="4" xfId="0" applyNumberFormat="1" applyBorder="1" applyAlignment="1">
      <alignment horizontal="center" vertical="center"/>
    </xf>
    <xf numFmtId="0" fontId="0" fillId="0" borderId="0" xfId="0" applyAlignment="1">
      <alignment horizontal="center" vertical="center"/>
    </xf>
    <xf numFmtId="49" fontId="7" fillId="2" borderId="11" xfId="0" applyNumberFormat="1" applyFont="1" applyFill="1" applyBorder="1" applyAlignment="1" applyProtection="1">
      <alignment vertical="center" wrapText="1"/>
      <protection locked="0"/>
    </xf>
    <xf numFmtId="0" fontId="11" fillId="0" borderId="2" xfId="0" applyFont="1" applyBorder="1" applyAlignment="1">
      <alignment horizontal="center" vertical="center"/>
    </xf>
  </cellXfs>
  <cellStyles count="49">
    <cellStyle name="Normal" xfId="0" builtinId="0"/>
    <cellStyle name="Comma" xfId="1" builtinId="3"/>
    <cellStyle name="Currency" xfId="2" builtinId="4"/>
    <cellStyle name="Percent" xfId="3" builtinId="5"/>
    <cellStyle name="Comma [0]" xfId="4" builtinId="6"/>
    <cellStyle name="Currency [0]" xfId="5" builtinId="7"/>
    <cellStyle name="Link" xfId="6" builtinId="8"/>
    <cellStyle name="Followed Hyperlink" xfId="7" builtinId="9"/>
    <cellStyle name="Note" xfId="8" builtinId="10"/>
    <cellStyle name="Warning Text" xfId="9" builtinId="11"/>
    <cellStyle name="Title" xfId="10" builtinId="15"/>
    <cellStyle name="Explanatory Text" xfId="11" builtinId="53"/>
    <cellStyle name="Heading 1" xfId="12" builtinId="16"/>
    <cellStyle name="Heading 2" xfId="13" builtinId="17"/>
    <cellStyle name="Heading 3" xfId="14" builtinId="18"/>
    <cellStyle name="Heading 4" xfId="15" builtinId="19"/>
    <cellStyle name="Input" xfId="16" builtinId="20"/>
    <cellStyle name="Output" xfId="17" builtinId="21"/>
    <cellStyle name="Calculation" xfId="18" builtinId="22"/>
    <cellStyle name="Check Cell" xfId="19" builtinId="23"/>
    <cellStyle name="Linked Cell" xfId="20" builtinId="24"/>
    <cellStyle name="Total" xfId="21" builtinId="25"/>
    <cellStyle name="Good" xfId="22" builtinId="26"/>
    <cellStyle name="Bad" xfId="23" builtinId="27"/>
    <cellStyle name="Neutral" xfId="24" builtinId="28"/>
    <cellStyle name="Accent1" xfId="25" builtinId="29"/>
    <cellStyle name="20% - Accent1" xfId="26" builtinId="30"/>
    <cellStyle name="40% - Accent1" xfId="27" builtinId="31"/>
    <cellStyle name="60% - Accent1" xfId="28" builtinId="32"/>
    <cellStyle name="Accent2" xfId="29" builtinId="33"/>
    <cellStyle name="20% - Accent2" xfId="30" builtinId="34"/>
    <cellStyle name="40% - Accent2" xfId="31" builtinId="35"/>
    <cellStyle name="60% - Accent2" xfId="32" builtinId="36"/>
    <cellStyle name="Accent3" xfId="33" builtinId="37"/>
    <cellStyle name="20% - Accent3" xfId="34" builtinId="38"/>
    <cellStyle name="40% - Accent3" xfId="35" builtinId="39"/>
    <cellStyle name="60% - Accent3" xfId="36" builtinId="40"/>
    <cellStyle name="Accent4" xfId="37" builtinId="41"/>
    <cellStyle name="20% - Accent4" xfId="38" builtinId="42"/>
    <cellStyle name="40% - Accent4" xfId="39" builtinId="43"/>
    <cellStyle name="60% - Accent4" xfId="40" builtinId="44"/>
    <cellStyle name="Accent5" xfId="41" builtinId="45"/>
    <cellStyle name="20% - Accent5" xfId="42" builtinId="46"/>
    <cellStyle name="40% - Accent5" xfId="43" builtinId="47"/>
    <cellStyle name="60% - Accent5" xfId="44" builtinId="48"/>
    <cellStyle name="Accent6" xfId="45" builtinId="49"/>
    <cellStyle name="20% - Accent6" xfId="46" builtinId="50"/>
    <cellStyle name="40% - Accent6" xfId="47" builtinId="51"/>
    <cellStyle name="60% - Accent6" xfId="48" builtinId="52"/>
  </cellStyles>
  <tableStyles count="0" defaultTableStyle="TableStyleMedium2" defaultPivotStyle="PivotStyleLight16"/>
  <colors>
    <mruColors>
      <color rgb="00F04A8C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0.png"/><Relationship Id="rId98" Type="http://schemas.openxmlformats.org/officeDocument/2006/relationships/image" Target="media/image99.jpeg"/><Relationship Id="rId97" Type="http://schemas.openxmlformats.org/officeDocument/2006/relationships/image" Target="media/image98.jpeg"/><Relationship Id="rId96" Type="http://schemas.openxmlformats.org/officeDocument/2006/relationships/image" Target="media/image97.jpeg"/><Relationship Id="rId95" Type="http://schemas.openxmlformats.org/officeDocument/2006/relationships/image" Target="media/image96.jpeg"/><Relationship Id="rId94" Type="http://schemas.openxmlformats.org/officeDocument/2006/relationships/image" Target="media/image95.jpeg"/><Relationship Id="rId93" Type="http://schemas.openxmlformats.org/officeDocument/2006/relationships/image" Target="media/image94.jpeg"/><Relationship Id="rId92" Type="http://schemas.openxmlformats.org/officeDocument/2006/relationships/image" Target="media/image93.jpeg"/><Relationship Id="rId91" Type="http://schemas.openxmlformats.org/officeDocument/2006/relationships/image" Target="media/image92.jpeg"/><Relationship Id="rId90" Type="http://schemas.openxmlformats.org/officeDocument/2006/relationships/image" Target="media/image91.png"/><Relationship Id="rId9" Type="http://schemas.openxmlformats.org/officeDocument/2006/relationships/image" Target="media/image10.jpeg"/><Relationship Id="rId89" Type="http://schemas.openxmlformats.org/officeDocument/2006/relationships/image" Target="media/image90.jpeg"/><Relationship Id="rId88" Type="http://schemas.openxmlformats.org/officeDocument/2006/relationships/image" Target="media/image89.jpeg"/><Relationship Id="rId87" Type="http://schemas.openxmlformats.org/officeDocument/2006/relationships/image" Target="media/image88.jpeg"/><Relationship Id="rId86" Type="http://schemas.openxmlformats.org/officeDocument/2006/relationships/image" Target="media/image87.jpeg"/><Relationship Id="rId85" Type="http://schemas.openxmlformats.org/officeDocument/2006/relationships/image" Target="media/image86.jpeg"/><Relationship Id="rId84" Type="http://schemas.openxmlformats.org/officeDocument/2006/relationships/image" Target="media/image85.jpeg"/><Relationship Id="rId83" Type="http://schemas.openxmlformats.org/officeDocument/2006/relationships/image" Target="media/image84.jpeg"/><Relationship Id="rId82" Type="http://schemas.openxmlformats.org/officeDocument/2006/relationships/image" Target="media/image83.jpeg"/><Relationship Id="rId81" Type="http://schemas.openxmlformats.org/officeDocument/2006/relationships/image" Target="media/image82.jpeg"/><Relationship Id="rId80" Type="http://schemas.openxmlformats.org/officeDocument/2006/relationships/image" Target="media/image81.jpeg"/><Relationship Id="rId8" Type="http://schemas.openxmlformats.org/officeDocument/2006/relationships/image" Target="media/image9.jpeg"/><Relationship Id="rId79" Type="http://schemas.openxmlformats.org/officeDocument/2006/relationships/image" Target="media/image80.jpeg"/><Relationship Id="rId78" Type="http://schemas.openxmlformats.org/officeDocument/2006/relationships/image" Target="media/image79.jpeg"/><Relationship Id="rId77" Type="http://schemas.openxmlformats.org/officeDocument/2006/relationships/image" Target="media/image78.jpeg"/><Relationship Id="rId76" Type="http://schemas.openxmlformats.org/officeDocument/2006/relationships/image" Target="media/image77.jpeg"/><Relationship Id="rId75" Type="http://schemas.openxmlformats.org/officeDocument/2006/relationships/image" Target="media/image76.jpeg"/><Relationship Id="rId74" Type="http://schemas.openxmlformats.org/officeDocument/2006/relationships/image" Target="media/image75.jpeg"/><Relationship Id="rId73" Type="http://schemas.openxmlformats.org/officeDocument/2006/relationships/image" Target="media/image74.jpeg"/><Relationship Id="rId72" Type="http://schemas.openxmlformats.org/officeDocument/2006/relationships/image" Target="media/image73.jpeg"/><Relationship Id="rId71" Type="http://schemas.openxmlformats.org/officeDocument/2006/relationships/image" Target="media/image72.jpeg"/><Relationship Id="rId70" Type="http://schemas.openxmlformats.org/officeDocument/2006/relationships/image" Target="media/image71.jpeg"/><Relationship Id="rId7" Type="http://schemas.openxmlformats.org/officeDocument/2006/relationships/image" Target="media/image8.jpeg"/><Relationship Id="rId69" Type="http://schemas.openxmlformats.org/officeDocument/2006/relationships/image" Target="media/image70.jpeg"/><Relationship Id="rId68" Type="http://schemas.openxmlformats.org/officeDocument/2006/relationships/image" Target="media/image69.jpeg"/><Relationship Id="rId671" Type="http://schemas.openxmlformats.org/officeDocument/2006/relationships/image" Target="media/image672.png"/><Relationship Id="rId670" Type="http://schemas.openxmlformats.org/officeDocument/2006/relationships/image" Target="media/image671.jpeg"/><Relationship Id="rId67" Type="http://schemas.openxmlformats.org/officeDocument/2006/relationships/image" Target="media/image68.jpeg"/><Relationship Id="rId669" Type="http://schemas.openxmlformats.org/officeDocument/2006/relationships/image" Target="media/image670.jpeg"/><Relationship Id="rId668" Type="http://schemas.openxmlformats.org/officeDocument/2006/relationships/image" Target="media/image669.jpeg"/><Relationship Id="rId667" Type="http://schemas.openxmlformats.org/officeDocument/2006/relationships/image" Target="media/image668.jpeg"/><Relationship Id="rId666" Type="http://schemas.openxmlformats.org/officeDocument/2006/relationships/image" Target="media/image667.jpeg"/><Relationship Id="rId665" Type="http://schemas.openxmlformats.org/officeDocument/2006/relationships/image" Target="media/image666.jpeg"/><Relationship Id="rId664" Type="http://schemas.openxmlformats.org/officeDocument/2006/relationships/image" Target="media/image665.png"/><Relationship Id="rId663" Type="http://schemas.openxmlformats.org/officeDocument/2006/relationships/image" Target="media/image664.png"/><Relationship Id="rId662" Type="http://schemas.openxmlformats.org/officeDocument/2006/relationships/image" Target="media/image663.png"/><Relationship Id="rId661" Type="http://schemas.openxmlformats.org/officeDocument/2006/relationships/image" Target="media/image662.jpeg"/><Relationship Id="rId660" Type="http://schemas.openxmlformats.org/officeDocument/2006/relationships/image" Target="media/image661.png"/><Relationship Id="rId66" Type="http://schemas.openxmlformats.org/officeDocument/2006/relationships/image" Target="media/image67.png"/><Relationship Id="rId659" Type="http://schemas.openxmlformats.org/officeDocument/2006/relationships/image" Target="media/image660.jpeg"/><Relationship Id="rId658" Type="http://schemas.openxmlformats.org/officeDocument/2006/relationships/image" Target="media/image659.jpeg"/><Relationship Id="rId657" Type="http://schemas.openxmlformats.org/officeDocument/2006/relationships/image" Target="media/image658.jpeg"/><Relationship Id="rId656" Type="http://schemas.openxmlformats.org/officeDocument/2006/relationships/image" Target="media/image657.png"/><Relationship Id="rId655" Type="http://schemas.openxmlformats.org/officeDocument/2006/relationships/image" Target="media/image656.jpeg"/><Relationship Id="rId654" Type="http://schemas.openxmlformats.org/officeDocument/2006/relationships/image" Target="media/image655.jpeg"/><Relationship Id="rId653" Type="http://schemas.openxmlformats.org/officeDocument/2006/relationships/image" Target="media/image654.jpeg"/><Relationship Id="rId652" Type="http://schemas.openxmlformats.org/officeDocument/2006/relationships/image" Target="media/image653.jpeg"/><Relationship Id="rId651" Type="http://schemas.openxmlformats.org/officeDocument/2006/relationships/image" Target="media/image652.jpeg"/><Relationship Id="rId650" Type="http://schemas.openxmlformats.org/officeDocument/2006/relationships/image" Target="media/image651.jpeg"/><Relationship Id="rId65" Type="http://schemas.openxmlformats.org/officeDocument/2006/relationships/image" Target="media/image66.jpeg"/><Relationship Id="rId649" Type="http://schemas.openxmlformats.org/officeDocument/2006/relationships/image" Target="media/image650.jpeg"/><Relationship Id="rId648" Type="http://schemas.openxmlformats.org/officeDocument/2006/relationships/image" Target="media/image649.jpeg"/><Relationship Id="rId647" Type="http://schemas.openxmlformats.org/officeDocument/2006/relationships/image" Target="media/image648.jpeg"/><Relationship Id="rId646" Type="http://schemas.openxmlformats.org/officeDocument/2006/relationships/image" Target="media/image647.jpeg"/><Relationship Id="rId645" Type="http://schemas.openxmlformats.org/officeDocument/2006/relationships/image" Target="media/image646.jpeg"/><Relationship Id="rId644" Type="http://schemas.openxmlformats.org/officeDocument/2006/relationships/image" Target="media/image645.jpeg"/><Relationship Id="rId643" Type="http://schemas.openxmlformats.org/officeDocument/2006/relationships/image" Target="media/image644.png"/><Relationship Id="rId642" Type="http://schemas.openxmlformats.org/officeDocument/2006/relationships/image" Target="media/image643.jpeg"/><Relationship Id="rId641" Type="http://schemas.openxmlformats.org/officeDocument/2006/relationships/image" Target="media/image642.png"/><Relationship Id="rId640" Type="http://schemas.openxmlformats.org/officeDocument/2006/relationships/image" Target="media/image641.jpeg"/><Relationship Id="rId64" Type="http://schemas.openxmlformats.org/officeDocument/2006/relationships/image" Target="media/image65.jpeg"/><Relationship Id="rId639" Type="http://schemas.openxmlformats.org/officeDocument/2006/relationships/image" Target="media/image640.jpeg"/><Relationship Id="rId638" Type="http://schemas.openxmlformats.org/officeDocument/2006/relationships/image" Target="media/image639.jpeg"/><Relationship Id="rId637" Type="http://schemas.openxmlformats.org/officeDocument/2006/relationships/image" Target="media/image638.jpeg"/><Relationship Id="rId636" Type="http://schemas.openxmlformats.org/officeDocument/2006/relationships/image" Target="media/image637.jpeg"/><Relationship Id="rId635" Type="http://schemas.openxmlformats.org/officeDocument/2006/relationships/image" Target="media/image636.jpeg"/><Relationship Id="rId634" Type="http://schemas.openxmlformats.org/officeDocument/2006/relationships/image" Target="media/image635.jpeg"/><Relationship Id="rId633" Type="http://schemas.openxmlformats.org/officeDocument/2006/relationships/image" Target="media/image634.jpeg"/><Relationship Id="rId632" Type="http://schemas.openxmlformats.org/officeDocument/2006/relationships/image" Target="media/image633.png"/><Relationship Id="rId631" Type="http://schemas.openxmlformats.org/officeDocument/2006/relationships/image" Target="media/image632.png"/><Relationship Id="rId630" Type="http://schemas.openxmlformats.org/officeDocument/2006/relationships/image" Target="media/image631.png"/><Relationship Id="rId63" Type="http://schemas.openxmlformats.org/officeDocument/2006/relationships/image" Target="media/image64.jpeg"/><Relationship Id="rId629" Type="http://schemas.openxmlformats.org/officeDocument/2006/relationships/image" Target="media/image630.jpeg"/><Relationship Id="rId628" Type="http://schemas.openxmlformats.org/officeDocument/2006/relationships/image" Target="media/image629.jpeg"/><Relationship Id="rId627" Type="http://schemas.openxmlformats.org/officeDocument/2006/relationships/image" Target="media/image628.jpeg"/><Relationship Id="rId626" Type="http://schemas.openxmlformats.org/officeDocument/2006/relationships/image" Target="media/image627.jpeg"/><Relationship Id="rId625" Type="http://schemas.openxmlformats.org/officeDocument/2006/relationships/image" Target="media/image626.png"/><Relationship Id="rId624" Type="http://schemas.openxmlformats.org/officeDocument/2006/relationships/image" Target="media/image625.jpeg"/><Relationship Id="rId623" Type="http://schemas.openxmlformats.org/officeDocument/2006/relationships/image" Target="media/image624.jpeg"/><Relationship Id="rId622" Type="http://schemas.openxmlformats.org/officeDocument/2006/relationships/image" Target="media/image623.jpeg"/><Relationship Id="rId621" Type="http://schemas.openxmlformats.org/officeDocument/2006/relationships/image" Target="media/image622.jpeg"/><Relationship Id="rId620" Type="http://schemas.openxmlformats.org/officeDocument/2006/relationships/image" Target="media/image621.jpeg"/><Relationship Id="rId62" Type="http://schemas.openxmlformats.org/officeDocument/2006/relationships/image" Target="media/image63.jpeg"/><Relationship Id="rId619" Type="http://schemas.openxmlformats.org/officeDocument/2006/relationships/image" Target="media/image620.png"/><Relationship Id="rId618" Type="http://schemas.openxmlformats.org/officeDocument/2006/relationships/image" Target="media/image619.png"/><Relationship Id="rId617" Type="http://schemas.openxmlformats.org/officeDocument/2006/relationships/image" Target="media/image618.jpeg"/><Relationship Id="rId616" Type="http://schemas.openxmlformats.org/officeDocument/2006/relationships/image" Target="media/image617.png"/><Relationship Id="rId615" Type="http://schemas.openxmlformats.org/officeDocument/2006/relationships/image" Target="media/image616.jpeg"/><Relationship Id="rId614" Type="http://schemas.openxmlformats.org/officeDocument/2006/relationships/image" Target="media/image615.png"/><Relationship Id="rId613" Type="http://schemas.openxmlformats.org/officeDocument/2006/relationships/image" Target="media/image614.jpeg"/><Relationship Id="rId612" Type="http://schemas.openxmlformats.org/officeDocument/2006/relationships/image" Target="media/image613.jpeg"/><Relationship Id="rId611" Type="http://schemas.openxmlformats.org/officeDocument/2006/relationships/image" Target="media/image612.jpeg"/><Relationship Id="rId610" Type="http://schemas.openxmlformats.org/officeDocument/2006/relationships/image" Target="media/image611.jpeg"/><Relationship Id="rId61" Type="http://schemas.openxmlformats.org/officeDocument/2006/relationships/image" Target="media/image62.png"/><Relationship Id="rId609" Type="http://schemas.openxmlformats.org/officeDocument/2006/relationships/image" Target="media/image610.jpeg"/><Relationship Id="rId608" Type="http://schemas.openxmlformats.org/officeDocument/2006/relationships/image" Target="media/image609.png"/><Relationship Id="rId607" Type="http://schemas.openxmlformats.org/officeDocument/2006/relationships/image" Target="media/image608.jpeg"/><Relationship Id="rId606" Type="http://schemas.openxmlformats.org/officeDocument/2006/relationships/image" Target="media/image607.png"/><Relationship Id="rId605" Type="http://schemas.openxmlformats.org/officeDocument/2006/relationships/image" Target="media/image606.jpeg"/><Relationship Id="rId604" Type="http://schemas.openxmlformats.org/officeDocument/2006/relationships/image" Target="media/image605.jpeg"/><Relationship Id="rId603" Type="http://schemas.openxmlformats.org/officeDocument/2006/relationships/image" Target="media/image604.jpeg"/><Relationship Id="rId602" Type="http://schemas.openxmlformats.org/officeDocument/2006/relationships/image" Target="media/image603.jpeg"/><Relationship Id="rId601" Type="http://schemas.openxmlformats.org/officeDocument/2006/relationships/image" Target="media/image602.jpeg"/><Relationship Id="rId600" Type="http://schemas.openxmlformats.org/officeDocument/2006/relationships/image" Target="media/image601.jpeg"/><Relationship Id="rId60" Type="http://schemas.openxmlformats.org/officeDocument/2006/relationships/image" Target="media/image61.jpeg"/><Relationship Id="rId6" Type="http://schemas.openxmlformats.org/officeDocument/2006/relationships/image" Target="media/image7.jpeg"/><Relationship Id="rId599" Type="http://schemas.openxmlformats.org/officeDocument/2006/relationships/image" Target="media/image600.jpeg"/><Relationship Id="rId598" Type="http://schemas.openxmlformats.org/officeDocument/2006/relationships/image" Target="media/image599.jpeg"/><Relationship Id="rId597" Type="http://schemas.openxmlformats.org/officeDocument/2006/relationships/image" Target="media/image598.jpeg"/><Relationship Id="rId596" Type="http://schemas.openxmlformats.org/officeDocument/2006/relationships/image" Target="media/image597.png"/><Relationship Id="rId595" Type="http://schemas.openxmlformats.org/officeDocument/2006/relationships/image" Target="media/image596.jpeg"/><Relationship Id="rId594" Type="http://schemas.openxmlformats.org/officeDocument/2006/relationships/image" Target="media/image595.jpeg"/><Relationship Id="rId593" Type="http://schemas.openxmlformats.org/officeDocument/2006/relationships/image" Target="media/image594.jpeg"/><Relationship Id="rId592" Type="http://schemas.openxmlformats.org/officeDocument/2006/relationships/image" Target="media/image593.jpeg"/><Relationship Id="rId591" Type="http://schemas.openxmlformats.org/officeDocument/2006/relationships/image" Target="media/image592.jpeg"/><Relationship Id="rId590" Type="http://schemas.openxmlformats.org/officeDocument/2006/relationships/image" Target="media/image591.jpeg"/><Relationship Id="rId59" Type="http://schemas.openxmlformats.org/officeDocument/2006/relationships/image" Target="media/image60.jpeg"/><Relationship Id="rId589" Type="http://schemas.openxmlformats.org/officeDocument/2006/relationships/image" Target="media/image590.jpeg"/><Relationship Id="rId588" Type="http://schemas.openxmlformats.org/officeDocument/2006/relationships/image" Target="media/image589.png"/><Relationship Id="rId587" Type="http://schemas.openxmlformats.org/officeDocument/2006/relationships/image" Target="media/image588.png"/><Relationship Id="rId586" Type="http://schemas.openxmlformats.org/officeDocument/2006/relationships/image" Target="media/image587.png"/><Relationship Id="rId585" Type="http://schemas.openxmlformats.org/officeDocument/2006/relationships/image" Target="media/image586.jpeg"/><Relationship Id="rId584" Type="http://schemas.openxmlformats.org/officeDocument/2006/relationships/image" Target="media/image585.jpeg"/><Relationship Id="rId583" Type="http://schemas.openxmlformats.org/officeDocument/2006/relationships/image" Target="media/image584.png"/><Relationship Id="rId582" Type="http://schemas.openxmlformats.org/officeDocument/2006/relationships/image" Target="media/image583.jpeg"/><Relationship Id="rId581" Type="http://schemas.openxmlformats.org/officeDocument/2006/relationships/image" Target="media/image582.jpeg"/><Relationship Id="rId580" Type="http://schemas.openxmlformats.org/officeDocument/2006/relationships/image" Target="media/image581.jpeg"/><Relationship Id="rId58" Type="http://schemas.openxmlformats.org/officeDocument/2006/relationships/image" Target="media/image59.jpeg"/><Relationship Id="rId579" Type="http://schemas.openxmlformats.org/officeDocument/2006/relationships/image" Target="media/image580.jpeg"/><Relationship Id="rId578" Type="http://schemas.openxmlformats.org/officeDocument/2006/relationships/image" Target="media/image579.jpeg"/><Relationship Id="rId577" Type="http://schemas.openxmlformats.org/officeDocument/2006/relationships/image" Target="media/image578.jpeg"/><Relationship Id="rId576" Type="http://schemas.openxmlformats.org/officeDocument/2006/relationships/image" Target="media/image577.jpeg"/><Relationship Id="rId575" Type="http://schemas.openxmlformats.org/officeDocument/2006/relationships/image" Target="media/image576.png"/><Relationship Id="rId574" Type="http://schemas.openxmlformats.org/officeDocument/2006/relationships/image" Target="media/image575.jpeg"/><Relationship Id="rId573" Type="http://schemas.openxmlformats.org/officeDocument/2006/relationships/image" Target="media/image574.jpeg"/><Relationship Id="rId572" Type="http://schemas.openxmlformats.org/officeDocument/2006/relationships/image" Target="media/image573.jpeg"/><Relationship Id="rId571" Type="http://schemas.openxmlformats.org/officeDocument/2006/relationships/image" Target="media/image572.jpeg"/><Relationship Id="rId570" Type="http://schemas.openxmlformats.org/officeDocument/2006/relationships/image" Target="media/image571.jpeg"/><Relationship Id="rId57" Type="http://schemas.openxmlformats.org/officeDocument/2006/relationships/image" Target="media/image58.jpeg"/><Relationship Id="rId569" Type="http://schemas.openxmlformats.org/officeDocument/2006/relationships/image" Target="media/image570.jpeg"/><Relationship Id="rId568" Type="http://schemas.openxmlformats.org/officeDocument/2006/relationships/image" Target="media/image569.jpeg"/><Relationship Id="rId567" Type="http://schemas.openxmlformats.org/officeDocument/2006/relationships/image" Target="media/image568.jpeg"/><Relationship Id="rId566" Type="http://schemas.openxmlformats.org/officeDocument/2006/relationships/image" Target="media/image567.jpeg"/><Relationship Id="rId565" Type="http://schemas.openxmlformats.org/officeDocument/2006/relationships/image" Target="media/image566.jpeg"/><Relationship Id="rId564" Type="http://schemas.openxmlformats.org/officeDocument/2006/relationships/image" Target="media/image565.png"/><Relationship Id="rId563" Type="http://schemas.openxmlformats.org/officeDocument/2006/relationships/image" Target="media/image564.jpeg"/><Relationship Id="rId562" Type="http://schemas.openxmlformats.org/officeDocument/2006/relationships/image" Target="media/image563.jpeg"/><Relationship Id="rId561" Type="http://schemas.openxmlformats.org/officeDocument/2006/relationships/image" Target="media/image562.jpeg"/><Relationship Id="rId560" Type="http://schemas.openxmlformats.org/officeDocument/2006/relationships/image" Target="media/image561.jpeg"/><Relationship Id="rId56" Type="http://schemas.openxmlformats.org/officeDocument/2006/relationships/image" Target="media/image57.jpeg"/><Relationship Id="rId559" Type="http://schemas.openxmlformats.org/officeDocument/2006/relationships/image" Target="media/image560.jpeg"/><Relationship Id="rId558" Type="http://schemas.openxmlformats.org/officeDocument/2006/relationships/image" Target="media/image559.jpeg"/><Relationship Id="rId557" Type="http://schemas.openxmlformats.org/officeDocument/2006/relationships/image" Target="media/image558.jpeg"/><Relationship Id="rId556" Type="http://schemas.openxmlformats.org/officeDocument/2006/relationships/image" Target="media/image557.png"/><Relationship Id="rId555" Type="http://schemas.openxmlformats.org/officeDocument/2006/relationships/image" Target="media/image556.jpeg"/><Relationship Id="rId554" Type="http://schemas.openxmlformats.org/officeDocument/2006/relationships/image" Target="media/image555.jpeg"/><Relationship Id="rId553" Type="http://schemas.openxmlformats.org/officeDocument/2006/relationships/image" Target="media/image554.png"/><Relationship Id="rId552" Type="http://schemas.openxmlformats.org/officeDocument/2006/relationships/image" Target="media/image553.jpeg"/><Relationship Id="rId551" Type="http://schemas.openxmlformats.org/officeDocument/2006/relationships/image" Target="media/image552.jpeg"/><Relationship Id="rId550" Type="http://schemas.openxmlformats.org/officeDocument/2006/relationships/image" Target="media/image551.jpeg"/><Relationship Id="rId55" Type="http://schemas.openxmlformats.org/officeDocument/2006/relationships/image" Target="media/image56.jpeg"/><Relationship Id="rId549" Type="http://schemas.openxmlformats.org/officeDocument/2006/relationships/image" Target="media/image550.jpeg"/><Relationship Id="rId548" Type="http://schemas.openxmlformats.org/officeDocument/2006/relationships/image" Target="media/image549.jpeg"/><Relationship Id="rId547" Type="http://schemas.openxmlformats.org/officeDocument/2006/relationships/image" Target="media/image548.jpeg"/><Relationship Id="rId546" Type="http://schemas.openxmlformats.org/officeDocument/2006/relationships/image" Target="media/image547.jpeg"/><Relationship Id="rId545" Type="http://schemas.openxmlformats.org/officeDocument/2006/relationships/image" Target="media/image546.jpeg"/><Relationship Id="rId544" Type="http://schemas.openxmlformats.org/officeDocument/2006/relationships/image" Target="media/image545.jpeg"/><Relationship Id="rId543" Type="http://schemas.openxmlformats.org/officeDocument/2006/relationships/image" Target="media/image544.jpeg"/><Relationship Id="rId542" Type="http://schemas.openxmlformats.org/officeDocument/2006/relationships/image" Target="media/image543.png"/><Relationship Id="rId541" Type="http://schemas.openxmlformats.org/officeDocument/2006/relationships/image" Target="media/image542.jpeg"/><Relationship Id="rId540" Type="http://schemas.openxmlformats.org/officeDocument/2006/relationships/image" Target="media/image541.jpeg"/><Relationship Id="rId54" Type="http://schemas.openxmlformats.org/officeDocument/2006/relationships/image" Target="media/image55.jpeg"/><Relationship Id="rId539" Type="http://schemas.openxmlformats.org/officeDocument/2006/relationships/image" Target="media/image540.jpeg"/><Relationship Id="rId538" Type="http://schemas.openxmlformats.org/officeDocument/2006/relationships/image" Target="media/image539.jpeg"/><Relationship Id="rId537" Type="http://schemas.openxmlformats.org/officeDocument/2006/relationships/image" Target="media/image538.jpeg"/><Relationship Id="rId536" Type="http://schemas.openxmlformats.org/officeDocument/2006/relationships/image" Target="media/image537.jpeg"/><Relationship Id="rId535" Type="http://schemas.openxmlformats.org/officeDocument/2006/relationships/image" Target="media/image536.jpeg"/><Relationship Id="rId534" Type="http://schemas.openxmlformats.org/officeDocument/2006/relationships/image" Target="media/image535.jpeg"/><Relationship Id="rId533" Type="http://schemas.openxmlformats.org/officeDocument/2006/relationships/image" Target="media/image534.jpeg"/><Relationship Id="rId532" Type="http://schemas.openxmlformats.org/officeDocument/2006/relationships/image" Target="media/image533.jpeg"/><Relationship Id="rId531" Type="http://schemas.openxmlformats.org/officeDocument/2006/relationships/image" Target="media/image532.jpeg"/><Relationship Id="rId530" Type="http://schemas.openxmlformats.org/officeDocument/2006/relationships/image" Target="media/image531.jpeg"/><Relationship Id="rId53" Type="http://schemas.openxmlformats.org/officeDocument/2006/relationships/image" Target="media/image54.jpeg"/><Relationship Id="rId529" Type="http://schemas.openxmlformats.org/officeDocument/2006/relationships/image" Target="media/image530.jpeg"/><Relationship Id="rId528" Type="http://schemas.openxmlformats.org/officeDocument/2006/relationships/image" Target="media/image529.jpeg"/><Relationship Id="rId527" Type="http://schemas.openxmlformats.org/officeDocument/2006/relationships/image" Target="media/image528.jpeg"/><Relationship Id="rId526" Type="http://schemas.openxmlformats.org/officeDocument/2006/relationships/image" Target="media/image527.jpeg"/><Relationship Id="rId525" Type="http://schemas.openxmlformats.org/officeDocument/2006/relationships/image" Target="media/image526.jpeg"/><Relationship Id="rId524" Type="http://schemas.openxmlformats.org/officeDocument/2006/relationships/image" Target="media/image525.jpeg"/><Relationship Id="rId523" Type="http://schemas.openxmlformats.org/officeDocument/2006/relationships/image" Target="media/image524.jpeg"/><Relationship Id="rId522" Type="http://schemas.openxmlformats.org/officeDocument/2006/relationships/image" Target="media/image523.png"/><Relationship Id="rId521" Type="http://schemas.openxmlformats.org/officeDocument/2006/relationships/image" Target="media/image522.jpeg"/><Relationship Id="rId520" Type="http://schemas.openxmlformats.org/officeDocument/2006/relationships/image" Target="media/image521.jpeg"/><Relationship Id="rId52" Type="http://schemas.openxmlformats.org/officeDocument/2006/relationships/image" Target="media/image53.jpeg"/><Relationship Id="rId519" Type="http://schemas.openxmlformats.org/officeDocument/2006/relationships/image" Target="media/image520.png"/><Relationship Id="rId518" Type="http://schemas.openxmlformats.org/officeDocument/2006/relationships/image" Target="media/image519.jpeg"/><Relationship Id="rId517" Type="http://schemas.openxmlformats.org/officeDocument/2006/relationships/image" Target="media/image518.png"/><Relationship Id="rId516" Type="http://schemas.openxmlformats.org/officeDocument/2006/relationships/image" Target="media/image517.jpeg"/><Relationship Id="rId515" Type="http://schemas.openxmlformats.org/officeDocument/2006/relationships/image" Target="media/image516.jpeg"/><Relationship Id="rId514" Type="http://schemas.openxmlformats.org/officeDocument/2006/relationships/image" Target="media/image515.jpeg"/><Relationship Id="rId513" Type="http://schemas.openxmlformats.org/officeDocument/2006/relationships/image" Target="media/image514.jpeg"/><Relationship Id="rId512" Type="http://schemas.openxmlformats.org/officeDocument/2006/relationships/image" Target="media/image513.jpeg"/><Relationship Id="rId511" Type="http://schemas.openxmlformats.org/officeDocument/2006/relationships/image" Target="media/image512.jpeg"/><Relationship Id="rId510" Type="http://schemas.openxmlformats.org/officeDocument/2006/relationships/image" Target="media/image511.jpeg"/><Relationship Id="rId51" Type="http://schemas.openxmlformats.org/officeDocument/2006/relationships/image" Target="media/image52.jpeg"/><Relationship Id="rId509" Type="http://schemas.openxmlformats.org/officeDocument/2006/relationships/image" Target="media/image510.png"/><Relationship Id="rId508" Type="http://schemas.openxmlformats.org/officeDocument/2006/relationships/image" Target="media/image509.png"/><Relationship Id="rId507" Type="http://schemas.openxmlformats.org/officeDocument/2006/relationships/image" Target="media/image508.jpeg"/><Relationship Id="rId506" Type="http://schemas.openxmlformats.org/officeDocument/2006/relationships/image" Target="media/image507.png"/><Relationship Id="rId505" Type="http://schemas.openxmlformats.org/officeDocument/2006/relationships/image" Target="media/image506.jpeg"/><Relationship Id="rId504" Type="http://schemas.openxmlformats.org/officeDocument/2006/relationships/image" Target="media/image505.jpeg"/><Relationship Id="rId503" Type="http://schemas.openxmlformats.org/officeDocument/2006/relationships/image" Target="media/image504.jpeg"/><Relationship Id="rId502" Type="http://schemas.openxmlformats.org/officeDocument/2006/relationships/image" Target="media/image503.jpeg"/><Relationship Id="rId501" Type="http://schemas.openxmlformats.org/officeDocument/2006/relationships/image" Target="media/image502.jpeg"/><Relationship Id="rId500" Type="http://schemas.openxmlformats.org/officeDocument/2006/relationships/image" Target="media/image501.jpeg"/><Relationship Id="rId50" Type="http://schemas.openxmlformats.org/officeDocument/2006/relationships/image" Target="media/image51.jpeg"/><Relationship Id="rId5" Type="http://schemas.openxmlformats.org/officeDocument/2006/relationships/image" Target="media/image6.jpeg"/><Relationship Id="rId499" Type="http://schemas.openxmlformats.org/officeDocument/2006/relationships/image" Target="media/image500.png"/><Relationship Id="rId498" Type="http://schemas.openxmlformats.org/officeDocument/2006/relationships/image" Target="media/image499.jpeg"/><Relationship Id="rId497" Type="http://schemas.openxmlformats.org/officeDocument/2006/relationships/image" Target="media/image498.png"/><Relationship Id="rId496" Type="http://schemas.openxmlformats.org/officeDocument/2006/relationships/image" Target="media/image497.jpeg"/><Relationship Id="rId495" Type="http://schemas.openxmlformats.org/officeDocument/2006/relationships/image" Target="media/image496.jpeg"/><Relationship Id="rId494" Type="http://schemas.openxmlformats.org/officeDocument/2006/relationships/image" Target="media/image495.jpeg"/><Relationship Id="rId493" Type="http://schemas.openxmlformats.org/officeDocument/2006/relationships/image" Target="media/image494.jpeg"/><Relationship Id="rId492" Type="http://schemas.openxmlformats.org/officeDocument/2006/relationships/image" Target="media/image493.jpeg"/><Relationship Id="rId491" Type="http://schemas.openxmlformats.org/officeDocument/2006/relationships/image" Target="media/image492.jpeg"/><Relationship Id="rId490" Type="http://schemas.openxmlformats.org/officeDocument/2006/relationships/image" Target="media/image491.png"/><Relationship Id="rId49" Type="http://schemas.openxmlformats.org/officeDocument/2006/relationships/image" Target="media/image50.jpeg"/><Relationship Id="rId489" Type="http://schemas.openxmlformats.org/officeDocument/2006/relationships/image" Target="media/image490.jpeg"/><Relationship Id="rId488" Type="http://schemas.openxmlformats.org/officeDocument/2006/relationships/image" Target="media/image489.jpeg"/><Relationship Id="rId487" Type="http://schemas.openxmlformats.org/officeDocument/2006/relationships/image" Target="media/image488.jpeg"/><Relationship Id="rId486" Type="http://schemas.openxmlformats.org/officeDocument/2006/relationships/image" Target="media/image487.jpeg"/><Relationship Id="rId485" Type="http://schemas.openxmlformats.org/officeDocument/2006/relationships/image" Target="media/image486.jpeg"/><Relationship Id="rId484" Type="http://schemas.openxmlformats.org/officeDocument/2006/relationships/image" Target="media/image485.jpeg"/><Relationship Id="rId483" Type="http://schemas.openxmlformats.org/officeDocument/2006/relationships/image" Target="media/image484.jpeg"/><Relationship Id="rId482" Type="http://schemas.openxmlformats.org/officeDocument/2006/relationships/image" Target="media/image483.jpeg"/><Relationship Id="rId481" Type="http://schemas.openxmlformats.org/officeDocument/2006/relationships/image" Target="media/image482.jpeg"/><Relationship Id="rId480" Type="http://schemas.openxmlformats.org/officeDocument/2006/relationships/image" Target="media/image481.jpeg"/><Relationship Id="rId48" Type="http://schemas.openxmlformats.org/officeDocument/2006/relationships/image" Target="media/image49.jpeg"/><Relationship Id="rId479" Type="http://schemas.openxmlformats.org/officeDocument/2006/relationships/image" Target="media/image480.png"/><Relationship Id="rId478" Type="http://schemas.openxmlformats.org/officeDocument/2006/relationships/image" Target="media/image479.png"/><Relationship Id="rId477" Type="http://schemas.openxmlformats.org/officeDocument/2006/relationships/image" Target="media/image478.png"/><Relationship Id="rId476" Type="http://schemas.openxmlformats.org/officeDocument/2006/relationships/image" Target="media/image477.png"/><Relationship Id="rId475" Type="http://schemas.openxmlformats.org/officeDocument/2006/relationships/image" Target="media/image476.png"/><Relationship Id="rId474" Type="http://schemas.openxmlformats.org/officeDocument/2006/relationships/image" Target="media/image475.jpeg"/><Relationship Id="rId473" Type="http://schemas.openxmlformats.org/officeDocument/2006/relationships/image" Target="media/image474.jpeg"/><Relationship Id="rId472" Type="http://schemas.openxmlformats.org/officeDocument/2006/relationships/image" Target="media/image473.jpeg"/><Relationship Id="rId471" Type="http://schemas.openxmlformats.org/officeDocument/2006/relationships/image" Target="media/image472.jpeg"/><Relationship Id="rId470" Type="http://schemas.openxmlformats.org/officeDocument/2006/relationships/image" Target="media/image471.png"/><Relationship Id="rId47" Type="http://schemas.openxmlformats.org/officeDocument/2006/relationships/image" Target="media/image48.jpeg"/><Relationship Id="rId469" Type="http://schemas.openxmlformats.org/officeDocument/2006/relationships/image" Target="media/image470.png"/><Relationship Id="rId468" Type="http://schemas.openxmlformats.org/officeDocument/2006/relationships/image" Target="media/image469.jpeg"/><Relationship Id="rId467" Type="http://schemas.openxmlformats.org/officeDocument/2006/relationships/image" Target="media/image468.jpeg"/><Relationship Id="rId466" Type="http://schemas.openxmlformats.org/officeDocument/2006/relationships/image" Target="media/image467.jpeg"/><Relationship Id="rId465" Type="http://schemas.openxmlformats.org/officeDocument/2006/relationships/image" Target="media/image466.jpeg"/><Relationship Id="rId464" Type="http://schemas.openxmlformats.org/officeDocument/2006/relationships/image" Target="media/image465.jpeg"/><Relationship Id="rId463" Type="http://schemas.openxmlformats.org/officeDocument/2006/relationships/image" Target="media/image464.jpeg"/><Relationship Id="rId462" Type="http://schemas.openxmlformats.org/officeDocument/2006/relationships/image" Target="media/image463.png"/><Relationship Id="rId461" Type="http://schemas.openxmlformats.org/officeDocument/2006/relationships/image" Target="media/image462.png"/><Relationship Id="rId460" Type="http://schemas.openxmlformats.org/officeDocument/2006/relationships/image" Target="media/image461.png"/><Relationship Id="rId46" Type="http://schemas.openxmlformats.org/officeDocument/2006/relationships/image" Target="media/image47.jpeg"/><Relationship Id="rId459" Type="http://schemas.openxmlformats.org/officeDocument/2006/relationships/image" Target="media/image460.jpeg"/><Relationship Id="rId458" Type="http://schemas.openxmlformats.org/officeDocument/2006/relationships/image" Target="media/image459.jpeg"/><Relationship Id="rId457" Type="http://schemas.openxmlformats.org/officeDocument/2006/relationships/image" Target="media/image458.png"/><Relationship Id="rId456" Type="http://schemas.openxmlformats.org/officeDocument/2006/relationships/image" Target="media/image457.jpeg"/><Relationship Id="rId455" Type="http://schemas.openxmlformats.org/officeDocument/2006/relationships/image" Target="media/image456.jpeg"/><Relationship Id="rId454" Type="http://schemas.openxmlformats.org/officeDocument/2006/relationships/image" Target="media/image455.png"/><Relationship Id="rId453" Type="http://schemas.openxmlformats.org/officeDocument/2006/relationships/image" Target="media/image454.jpeg"/><Relationship Id="rId452" Type="http://schemas.openxmlformats.org/officeDocument/2006/relationships/image" Target="media/image453.jpeg"/><Relationship Id="rId451" Type="http://schemas.openxmlformats.org/officeDocument/2006/relationships/image" Target="media/image452.png"/><Relationship Id="rId450" Type="http://schemas.openxmlformats.org/officeDocument/2006/relationships/image" Target="media/image451.png"/><Relationship Id="rId45" Type="http://schemas.openxmlformats.org/officeDocument/2006/relationships/image" Target="media/image46.jpeg"/><Relationship Id="rId449" Type="http://schemas.openxmlformats.org/officeDocument/2006/relationships/image" Target="media/image450.jpeg"/><Relationship Id="rId448" Type="http://schemas.openxmlformats.org/officeDocument/2006/relationships/image" Target="media/image449.jpeg"/><Relationship Id="rId447" Type="http://schemas.openxmlformats.org/officeDocument/2006/relationships/image" Target="media/image448.png"/><Relationship Id="rId446" Type="http://schemas.openxmlformats.org/officeDocument/2006/relationships/image" Target="media/image447.jpeg"/><Relationship Id="rId445" Type="http://schemas.openxmlformats.org/officeDocument/2006/relationships/image" Target="media/image446.png"/><Relationship Id="rId444" Type="http://schemas.openxmlformats.org/officeDocument/2006/relationships/image" Target="media/image445.jpeg"/><Relationship Id="rId443" Type="http://schemas.openxmlformats.org/officeDocument/2006/relationships/image" Target="media/image444.png"/><Relationship Id="rId442" Type="http://schemas.openxmlformats.org/officeDocument/2006/relationships/image" Target="media/image443.jpeg"/><Relationship Id="rId441" Type="http://schemas.openxmlformats.org/officeDocument/2006/relationships/image" Target="media/image442.png"/><Relationship Id="rId440" Type="http://schemas.openxmlformats.org/officeDocument/2006/relationships/image" Target="media/image441.png"/><Relationship Id="rId44" Type="http://schemas.openxmlformats.org/officeDocument/2006/relationships/image" Target="media/image45.jpeg"/><Relationship Id="rId439" Type="http://schemas.openxmlformats.org/officeDocument/2006/relationships/image" Target="media/image440.png"/><Relationship Id="rId438" Type="http://schemas.openxmlformats.org/officeDocument/2006/relationships/image" Target="media/image439.png"/><Relationship Id="rId437" Type="http://schemas.openxmlformats.org/officeDocument/2006/relationships/image" Target="media/image438.jpeg"/><Relationship Id="rId436" Type="http://schemas.openxmlformats.org/officeDocument/2006/relationships/image" Target="media/image437.jpeg"/><Relationship Id="rId435" Type="http://schemas.openxmlformats.org/officeDocument/2006/relationships/image" Target="media/image436.png"/><Relationship Id="rId434" Type="http://schemas.openxmlformats.org/officeDocument/2006/relationships/image" Target="media/image435.png"/><Relationship Id="rId433" Type="http://schemas.openxmlformats.org/officeDocument/2006/relationships/image" Target="media/image434.png"/><Relationship Id="rId432" Type="http://schemas.openxmlformats.org/officeDocument/2006/relationships/image" Target="media/image433.png"/><Relationship Id="rId431" Type="http://schemas.openxmlformats.org/officeDocument/2006/relationships/image" Target="media/image432.png"/><Relationship Id="rId430" Type="http://schemas.openxmlformats.org/officeDocument/2006/relationships/image" Target="media/image431.jpeg"/><Relationship Id="rId43" Type="http://schemas.openxmlformats.org/officeDocument/2006/relationships/image" Target="media/image44.jpeg"/><Relationship Id="rId429" Type="http://schemas.openxmlformats.org/officeDocument/2006/relationships/image" Target="media/image430.jpeg"/><Relationship Id="rId428" Type="http://schemas.openxmlformats.org/officeDocument/2006/relationships/image" Target="media/image429.png"/><Relationship Id="rId427" Type="http://schemas.openxmlformats.org/officeDocument/2006/relationships/image" Target="media/image428.png"/><Relationship Id="rId426" Type="http://schemas.openxmlformats.org/officeDocument/2006/relationships/image" Target="media/image427.jpeg"/><Relationship Id="rId425" Type="http://schemas.openxmlformats.org/officeDocument/2006/relationships/image" Target="media/image426.jpeg"/><Relationship Id="rId424" Type="http://schemas.openxmlformats.org/officeDocument/2006/relationships/image" Target="media/image425.png"/><Relationship Id="rId423" Type="http://schemas.openxmlformats.org/officeDocument/2006/relationships/image" Target="media/image424.jpeg"/><Relationship Id="rId422" Type="http://schemas.openxmlformats.org/officeDocument/2006/relationships/image" Target="media/image423.png"/><Relationship Id="rId421" Type="http://schemas.openxmlformats.org/officeDocument/2006/relationships/image" Target="media/image422.jpeg"/><Relationship Id="rId420" Type="http://schemas.openxmlformats.org/officeDocument/2006/relationships/image" Target="media/image421.png"/><Relationship Id="rId42" Type="http://schemas.openxmlformats.org/officeDocument/2006/relationships/image" Target="media/image43.jpeg"/><Relationship Id="rId419" Type="http://schemas.openxmlformats.org/officeDocument/2006/relationships/image" Target="media/image420.png"/><Relationship Id="rId418" Type="http://schemas.openxmlformats.org/officeDocument/2006/relationships/image" Target="media/image419.png"/><Relationship Id="rId417" Type="http://schemas.openxmlformats.org/officeDocument/2006/relationships/image" Target="media/image418.jpeg"/><Relationship Id="rId416" Type="http://schemas.openxmlformats.org/officeDocument/2006/relationships/image" Target="media/image417.jpeg"/><Relationship Id="rId415" Type="http://schemas.openxmlformats.org/officeDocument/2006/relationships/image" Target="media/image416.png"/><Relationship Id="rId414" Type="http://schemas.openxmlformats.org/officeDocument/2006/relationships/image" Target="media/image415.png"/><Relationship Id="rId413" Type="http://schemas.openxmlformats.org/officeDocument/2006/relationships/image" Target="media/image414.png"/><Relationship Id="rId412" Type="http://schemas.openxmlformats.org/officeDocument/2006/relationships/image" Target="media/image413.png"/><Relationship Id="rId411" Type="http://schemas.openxmlformats.org/officeDocument/2006/relationships/image" Target="media/image412.png"/><Relationship Id="rId410" Type="http://schemas.openxmlformats.org/officeDocument/2006/relationships/image" Target="media/image411.png"/><Relationship Id="rId41" Type="http://schemas.openxmlformats.org/officeDocument/2006/relationships/image" Target="media/image42.jpeg"/><Relationship Id="rId409" Type="http://schemas.openxmlformats.org/officeDocument/2006/relationships/image" Target="media/image410.jpeg"/><Relationship Id="rId408" Type="http://schemas.openxmlformats.org/officeDocument/2006/relationships/image" Target="media/image409.png"/><Relationship Id="rId407" Type="http://schemas.openxmlformats.org/officeDocument/2006/relationships/image" Target="media/image408.png"/><Relationship Id="rId406" Type="http://schemas.openxmlformats.org/officeDocument/2006/relationships/image" Target="media/image407.jpeg"/><Relationship Id="rId405" Type="http://schemas.openxmlformats.org/officeDocument/2006/relationships/image" Target="media/image406.png"/><Relationship Id="rId404" Type="http://schemas.openxmlformats.org/officeDocument/2006/relationships/image" Target="media/image405.jpeg"/><Relationship Id="rId403" Type="http://schemas.openxmlformats.org/officeDocument/2006/relationships/image" Target="media/image404.jpeg"/><Relationship Id="rId402" Type="http://schemas.openxmlformats.org/officeDocument/2006/relationships/image" Target="media/image403.png"/><Relationship Id="rId401" Type="http://schemas.openxmlformats.org/officeDocument/2006/relationships/image" Target="media/image402.png"/><Relationship Id="rId400" Type="http://schemas.openxmlformats.org/officeDocument/2006/relationships/image" Target="media/image401.png"/><Relationship Id="rId40" Type="http://schemas.openxmlformats.org/officeDocument/2006/relationships/image" Target="media/image41.jpeg"/><Relationship Id="rId4" Type="http://schemas.openxmlformats.org/officeDocument/2006/relationships/image" Target="media/image5.jpeg"/><Relationship Id="rId399" Type="http://schemas.openxmlformats.org/officeDocument/2006/relationships/image" Target="media/image400.png"/><Relationship Id="rId398" Type="http://schemas.openxmlformats.org/officeDocument/2006/relationships/image" Target="media/image399.png"/><Relationship Id="rId397" Type="http://schemas.openxmlformats.org/officeDocument/2006/relationships/image" Target="media/image398.jpeg"/><Relationship Id="rId396" Type="http://schemas.openxmlformats.org/officeDocument/2006/relationships/image" Target="media/image397.png"/><Relationship Id="rId395" Type="http://schemas.openxmlformats.org/officeDocument/2006/relationships/image" Target="media/image396.jpeg"/><Relationship Id="rId394" Type="http://schemas.openxmlformats.org/officeDocument/2006/relationships/image" Target="media/image395.jpeg"/><Relationship Id="rId393" Type="http://schemas.openxmlformats.org/officeDocument/2006/relationships/image" Target="media/image394.jpeg"/><Relationship Id="rId392" Type="http://schemas.openxmlformats.org/officeDocument/2006/relationships/image" Target="media/image393.png"/><Relationship Id="rId391" Type="http://schemas.openxmlformats.org/officeDocument/2006/relationships/image" Target="media/image392.png"/><Relationship Id="rId390" Type="http://schemas.openxmlformats.org/officeDocument/2006/relationships/image" Target="media/image391.png"/><Relationship Id="rId39" Type="http://schemas.openxmlformats.org/officeDocument/2006/relationships/image" Target="media/image40.jpeg"/><Relationship Id="rId389" Type="http://schemas.openxmlformats.org/officeDocument/2006/relationships/image" Target="media/image390.png"/><Relationship Id="rId388" Type="http://schemas.openxmlformats.org/officeDocument/2006/relationships/image" Target="media/image389.jpeg"/><Relationship Id="rId387" Type="http://schemas.openxmlformats.org/officeDocument/2006/relationships/image" Target="media/image388.png"/><Relationship Id="rId386" Type="http://schemas.openxmlformats.org/officeDocument/2006/relationships/image" Target="media/image387.png"/><Relationship Id="rId385" Type="http://schemas.openxmlformats.org/officeDocument/2006/relationships/image" Target="media/image386.png"/><Relationship Id="rId384" Type="http://schemas.openxmlformats.org/officeDocument/2006/relationships/image" Target="media/image385.png"/><Relationship Id="rId383" Type="http://schemas.openxmlformats.org/officeDocument/2006/relationships/image" Target="media/image384.jpeg"/><Relationship Id="rId382" Type="http://schemas.openxmlformats.org/officeDocument/2006/relationships/image" Target="media/image383.jpeg"/><Relationship Id="rId381" Type="http://schemas.openxmlformats.org/officeDocument/2006/relationships/image" Target="media/image382.jpeg"/><Relationship Id="rId380" Type="http://schemas.openxmlformats.org/officeDocument/2006/relationships/image" Target="media/image381.png"/><Relationship Id="rId38" Type="http://schemas.openxmlformats.org/officeDocument/2006/relationships/image" Target="media/image39.jpeg"/><Relationship Id="rId379" Type="http://schemas.openxmlformats.org/officeDocument/2006/relationships/image" Target="media/image380.png"/><Relationship Id="rId378" Type="http://schemas.openxmlformats.org/officeDocument/2006/relationships/image" Target="media/image379.png"/><Relationship Id="rId377" Type="http://schemas.openxmlformats.org/officeDocument/2006/relationships/image" Target="media/image378.png"/><Relationship Id="rId376" Type="http://schemas.openxmlformats.org/officeDocument/2006/relationships/image" Target="media/image377.jpeg"/><Relationship Id="rId375" Type="http://schemas.openxmlformats.org/officeDocument/2006/relationships/image" Target="media/image376.png"/><Relationship Id="rId374" Type="http://schemas.openxmlformats.org/officeDocument/2006/relationships/image" Target="media/image375.png"/><Relationship Id="rId373" Type="http://schemas.openxmlformats.org/officeDocument/2006/relationships/image" Target="media/image374.png"/><Relationship Id="rId372" Type="http://schemas.openxmlformats.org/officeDocument/2006/relationships/image" Target="media/image373.png"/><Relationship Id="rId371" Type="http://schemas.openxmlformats.org/officeDocument/2006/relationships/image" Target="media/image372.png"/><Relationship Id="rId370" Type="http://schemas.openxmlformats.org/officeDocument/2006/relationships/image" Target="media/image371.png"/><Relationship Id="rId37" Type="http://schemas.openxmlformats.org/officeDocument/2006/relationships/image" Target="media/image38.jpeg"/><Relationship Id="rId369" Type="http://schemas.openxmlformats.org/officeDocument/2006/relationships/image" Target="media/image370.png"/><Relationship Id="rId368" Type="http://schemas.openxmlformats.org/officeDocument/2006/relationships/image" Target="media/image369.png"/><Relationship Id="rId367" Type="http://schemas.openxmlformats.org/officeDocument/2006/relationships/image" Target="media/image368.jpeg"/><Relationship Id="rId366" Type="http://schemas.openxmlformats.org/officeDocument/2006/relationships/image" Target="media/image367.png"/><Relationship Id="rId365" Type="http://schemas.openxmlformats.org/officeDocument/2006/relationships/image" Target="media/image366.jpeg"/><Relationship Id="rId364" Type="http://schemas.openxmlformats.org/officeDocument/2006/relationships/image" Target="media/image365.png"/><Relationship Id="rId363" Type="http://schemas.openxmlformats.org/officeDocument/2006/relationships/image" Target="media/image364.jpeg"/><Relationship Id="rId362" Type="http://schemas.openxmlformats.org/officeDocument/2006/relationships/image" Target="media/image363.png"/><Relationship Id="rId361" Type="http://schemas.openxmlformats.org/officeDocument/2006/relationships/image" Target="media/image362.jpeg"/><Relationship Id="rId360" Type="http://schemas.openxmlformats.org/officeDocument/2006/relationships/image" Target="media/image361.jpeg"/><Relationship Id="rId36" Type="http://schemas.openxmlformats.org/officeDocument/2006/relationships/image" Target="media/image37.jpeg"/><Relationship Id="rId359" Type="http://schemas.openxmlformats.org/officeDocument/2006/relationships/image" Target="media/image360.png"/><Relationship Id="rId358" Type="http://schemas.openxmlformats.org/officeDocument/2006/relationships/image" Target="media/image359.png"/><Relationship Id="rId357" Type="http://schemas.openxmlformats.org/officeDocument/2006/relationships/image" Target="media/image358.png"/><Relationship Id="rId356" Type="http://schemas.openxmlformats.org/officeDocument/2006/relationships/image" Target="media/image357.jpeg"/><Relationship Id="rId355" Type="http://schemas.openxmlformats.org/officeDocument/2006/relationships/image" Target="media/image356.png"/><Relationship Id="rId354" Type="http://schemas.openxmlformats.org/officeDocument/2006/relationships/image" Target="media/image355.png"/><Relationship Id="rId353" Type="http://schemas.openxmlformats.org/officeDocument/2006/relationships/image" Target="media/image354.jpeg"/><Relationship Id="rId352" Type="http://schemas.openxmlformats.org/officeDocument/2006/relationships/image" Target="media/image353.png"/><Relationship Id="rId351" Type="http://schemas.openxmlformats.org/officeDocument/2006/relationships/image" Target="media/image352.jpeg"/><Relationship Id="rId350" Type="http://schemas.openxmlformats.org/officeDocument/2006/relationships/image" Target="media/image351.png"/><Relationship Id="rId35" Type="http://schemas.openxmlformats.org/officeDocument/2006/relationships/image" Target="media/image36.png"/><Relationship Id="rId349" Type="http://schemas.openxmlformats.org/officeDocument/2006/relationships/image" Target="media/image350.png"/><Relationship Id="rId348" Type="http://schemas.openxmlformats.org/officeDocument/2006/relationships/image" Target="media/image349.jpeg"/><Relationship Id="rId347" Type="http://schemas.openxmlformats.org/officeDocument/2006/relationships/image" Target="media/image348.jpeg"/><Relationship Id="rId346" Type="http://schemas.openxmlformats.org/officeDocument/2006/relationships/image" Target="media/image347.png"/><Relationship Id="rId345" Type="http://schemas.openxmlformats.org/officeDocument/2006/relationships/image" Target="media/image346.png"/><Relationship Id="rId344" Type="http://schemas.openxmlformats.org/officeDocument/2006/relationships/image" Target="media/image345.png"/><Relationship Id="rId343" Type="http://schemas.openxmlformats.org/officeDocument/2006/relationships/image" Target="media/image344.jpeg"/><Relationship Id="rId342" Type="http://schemas.openxmlformats.org/officeDocument/2006/relationships/image" Target="media/image343.jpeg"/><Relationship Id="rId341" Type="http://schemas.openxmlformats.org/officeDocument/2006/relationships/image" Target="media/image342.png"/><Relationship Id="rId340" Type="http://schemas.openxmlformats.org/officeDocument/2006/relationships/image" Target="media/image341.png"/><Relationship Id="rId34" Type="http://schemas.openxmlformats.org/officeDocument/2006/relationships/image" Target="media/image35.jpeg"/><Relationship Id="rId339" Type="http://schemas.openxmlformats.org/officeDocument/2006/relationships/image" Target="media/image340.png"/><Relationship Id="rId338" Type="http://schemas.openxmlformats.org/officeDocument/2006/relationships/image" Target="media/image339.png"/><Relationship Id="rId337" Type="http://schemas.openxmlformats.org/officeDocument/2006/relationships/image" Target="media/image338.png"/><Relationship Id="rId336" Type="http://schemas.openxmlformats.org/officeDocument/2006/relationships/image" Target="media/image337.png"/><Relationship Id="rId335" Type="http://schemas.openxmlformats.org/officeDocument/2006/relationships/image" Target="media/image336.png"/><Relationship Id="rId334" Type="http://schemas.openxmlformats.org/officeDocument/2006/relationships/image" Target="media/image335.png"/><Relationship Id="rId333" Type="http://schemas.openxmlformats.org/officeDocument/2006/relationships/image" Target="media/image334.png"/><Relationship Id="rId332" Type="http://schemas.openxmlformats.org/officeDocument/2006/relationships/image" Target="media/image333.png"/><Relationship Id="rId331" Type="http://schemas.openxmlformats.org/officeDocument/2006/relationships/image" Target="media/image332.png"/><Relationship Id="rId330" Type="http://schemas.openxmlformats.org/officeDocument/2006/relationships/image" Target="media/image331.png"/><Relationship Id="rId33" Type="http://schemas.openxmlformats.org/officeDocument/2006/relationships/image" Target="media/image34.jpeg"/><Relationship Id="rId329" Type="http://schemas.openxmlformats.org/officeDocument/2006/relationships/image" Target="media/image330.png"/><Relationship Id="rId328" Type="http://schemas.openxmlformats.org/officeDocument/2006/relationships/image" Target="media/image329.png"/><Relationship Id="rId327" Type="http://schemas.openxmlformats.org/officeDocument/2006/relationships/image" Target="media/image328.png"/><Relationship Id="rId326" Type="http://schemas.openxmlformats.org/officeDocument/2006/relationships/image" Target="media/image327.png"/><Relationship Id="rId325" Type="http://schemas.openxmlformats.org/officeDocument/2006/relationships/image" Target="media/image326.png"/><Relationship Id="rId324" Type="http://schemas.openxmlformats.org/officeDocument/2006/relationships/image" Target="media/image325.png"/><Relationship Id="rId323" Type="http://schemas.openxmlformats.org/officeDocument/2006/relationships/image" Target="media/image324.png"/><Relationship Id="rId322" Type="http://schemas.openxmlformats.org/officeDocument/2006/relationships/image" Target="media/image323.png"/><Relationship Id="rId321" Type="http://schemas.openxmlformats.org/officeDocument/2006/relationships/image" Target="media/image322.png"/><Relationship Id="rId320" Type="http://schemas.openxmlformats.org/officeDocument/2006/relationships/image" Target="media/image321.png"/><Relationship Id="rId32" Type="http://schemas.openxmlformats.org/officeDocument/2006/relationships/image" Target="media/image33.jpeg"/><Relationship Id="rId319" Type="http://schemas.openxmlformats.org/officeDocument/2006/relationships/image" Target="media/image320.png"/><Relationship Id="rId318" Type="http://schemas.openxmlformats.org/officeDocument/2006/relationships/image" Target="media/image319.png"/><Relationship Id="rId317" Type="http://schemas.openxmlformats.org/officeDocument/2006/relationships/image" Target="media/image318.png"/><Relationship Id="rId316" Type="http://schemas.openxmlformats.org/officeDocument/2006/relationships/image" Target="media/image317.png"/><Relationship Id="rId315" Type="http://schemas.openxmlformats.org/officeDocument/2006/relationships/image" Target="media/image316.png"/><Relationship Id="rId314" Type="http://schemas.openxmlformats.org/officeDocument/2006/relationships/image" Target="media/image315.png"/><Relationship Id="rId313" Type="http://schemas.openxmlformats.org/officeDocument/2006/relationships/image" Target="media/image314.png"/><Relationship Id="rId312" Type="http://schemas.openxmlformats.org/officeDocument/2006/relationships/image" Target="media/image313.png"/><Relationship Id="rId311" Type="http://schemas.openxmlformats.org/officeDocument/2006/relationships/image" Target="media/image312.png"/><Relationship Id="rId310" Type="http://schemas.openxmlformats.org/officeDocument/2006/relationships/image" Target="media/image311.png"/><Relationship Id="rId31" Type="http://schemas.openxmlformats.org/officeDocument/2006/relationships/image" Target="media/image32.jpeg"/><Relationship Id="rId309" Type="http://schemas.openxmlformats.org/officeDocument/2006/relationships/image" Target="media/image310.png"/><Relationship Id="rId308" Type="http://schemas.openxmlformats.org/officeDocument/2006/relationships/image" Target="media/image309.png"/><Relationship Id="rId307" Type="http://schemas.openxmlformats.org/officeDocument/2006/relationships/image" Target="media/image308.png"/><Relationship Id="rId306" Type="http://schemas.openxmlformats.org/officeDocument/2006/relationships/image" Target="media/image307.png"/><Relationship Id="rId305" Type="http://schemas.openxmlformats.org/officeDocument/2006/relationships/image" Target="media/image306.png"/><Relationship Id="rId304" Type="http://schemas.openxmlformats.org/officeDocument/2006/relationships/image" Target="media/image305.png"/><Relationship Id="rId303" Type="http://schemas.openxmlformats.org/officeDocument/2006/relationships/image" Target="media/image304.png"/><Relationship Id="rId302" Type="http://schemas.openxmlformats.org/officeDocument/2006/relationships/image" Target="media/image303.png"/><Relationship Id="rId301" Type="http://schemas.openxmlformats.org/officeDocument/2006/relationships/image" Target="media/image302.png"/><Relationship Id="rId300" Type="http://schemas.openxmlformats.org/officeDocument/2006/relationships/image" Target="media/image301.png"/><Relationship Id="rId30" Type="http://schemas.openxmlformats.org/officeDocument/2006/relationships/image" Target="media/image31.png"/><Relationship Id="rId3" Type="http://schemas.openxmlformats.org/officeDocument/2006/relationships/image" Target="media/image4.jpeg"/><Relationship Id="rId299" Type="http://schemas.openxmlformats.org/officeDocument/2006/relationships/image" Target="media/image300.png"/><Relationship Id="rId298" Type="http://schemas.openxmlformats.org/officeDocument/2006/relationships/image" Target="media/image299.jpeg"/><Relationship Id="rId297" Type="http://schemas.openxmlformats.org/officeDocument/2006/relationships/image" Target="media/image298.jpeg"/><Relationship Id="rId296" Type="http://schemas.openxmlformats.org/officeDocument/2006/relationships/image" Target="media/image297.jpeg"/><Relationship Id="rId295" Type="http://schemas.openxmlformats.org/officeDocument/2006/relationships/image" Target="media/image296.png"/><Relationship Id="rId294" Type="http://schemas.openxmlformats.org/officeDocument/2006/relationships/image" Target="media/image295.png"/><Relationship Id="rId293" Type="http://schemas.openxmlformats.org/officeDocument/2006/relationships/image" Target="media/image294.png"/><Relationship Id="rId292" Type="http://schemas.openxmlformats.org/officeDocument/2006/relationships/image" Target="media/image293.png"/><Relationship Id="rId291" Type="http://schemas.openxmlformats.org/officeDocument/2006/relationships/image" Target="media/image292.png"/><Relationship Id="rId290" Type="http://schemas.openxmlformats.org/officeDocument/2006/relationships/image" Target="media/image291.png"/><Relationship Id="rId29" Type="http://schemas.openxmlformats.org/officeDocument/2006/relationships/image" Target="media/image30.GIF"/><Relationship Id="rId289" Type="http://schemas.openxmlformats.org/officeDocument/2006/relationships/image" Target="media/image290.jpeg"/><Relationship Id="rId288" Type="http://schemas.openxmlformats.org/officeDocument/2006/relationships/image" Target="media/image289.png"/><Relationship Id="rId287" Type="http://schemas.openxmlformats.org/officeDocument/2006/relationships/image" Target="media/image288.png"/><Relationship Id="rId286" Type="http://schemas.openxmlformats.org/officeDocument/2006/relationships/image" Target="media/image287.png"/><Relationship Id="rId285" Type="http://schemas.openxmlformats.org/officeDocument/2006/relationships/image" Target="media/image286.png"/><Relationship Id="rId284" Type="http://schemas.openxmlformats.org/officeDocument/2006/relationships/image" Target="media/image285.png"/><Relationship Id="rId283" Type="http://schemas.openxmlformats.org/officeDocument/2006/relationships/image" Target="media/image284.png"/><Relationship Id="rId282" Type="http://schemas.openxmlformats.org/officeDocument/2006/relationships/image" Target="media/image283.png"/><Relationship Id="rId281" Type="http://schemas.openxmlformats.org/officeDocument/2006/relationships/image" Target="media/image282.png"/><Relationship Id="rId280" Type="http://schemas.openxmlformats.org/officeDocument/2006/relationships/image" Target="media/image281.png"/><Relationship Id="rId28" Type="http://schemas.openxmlformats.org/officeDocument/2006/relationships/image" Target="media/image29.jpeg"/><Relationship Id="rId279" Type="http://schemas.openxmlformats.org/officeDocument/2006/relationships/image" Target="media/image280.png"/><Relationship Id="rId278" Type="http://schemas.openxmlformats.org/officeDocument/2006/relationships/image" Target="media/image279.png"/><Relationship Id="rId277" Type="http://schemas.openxmlformats.org/officeDocument/2006/relationships/image" Target="media/image278.png"/><Relationship Id="rId276" Type="http://schemas.openxmlformats.org/officeDocument/2006/relationships/image" Target="media/image277.png"/><Relationship Id="rId275" Type="http://schemas.openxmlformats.org/officeDocument/2006/relationships/image" Target="media/image276.png"/><Relationship Id="rId274" Type="http://schemas.openxmlformats.org/officeDocument/2006/relationships/image" Target="media/image275.png"/><Relationship Id="rId273" Type="http://schemas.openxmlformats.org/officeDocument/2006/relationships/image" Target="media/image274.png"/><Relationship Id="rId272" Type="http://schemas.openxmlformats.org/officeDocument/2006/relationships/image" Target="media/image273.png"/><Relationship Id="rId271" Type="http://schemas.openxmlformats.org/officeDocument/2006/relationships/image" Target="media/image272.png"/><Relationship Id="rId270" Type="http://schemas.openxmlformats.org/officeDocument/2006/relationships/image" Target="media/image271.png"/><Relationship Id="rId27" Type="http://schemas.openxmlformats.org/officeDocument/2006/relationships/image" Target="media/image28.png"/><Relationship Id="rId269" Type="http://schemas.openxmlformats.org/officeDocument/2006/relationships/image" Target="media/image270.png"/><Relationship Id="rId268" Type="http://schemas.openxmlformats.org/officeDocument/2006/relationships/image" Target="media/image269.png"/><Relationship Id="rId267" Type="http://schemas.openxmlformats.org/officeDocument/2006/relationships/image" Target="media/image268.png"/><Relationship Id="rId266" Type="http://schemas.openxmlformats.org/officeDocument/2006/relationships/image" Target="media/image267.png"/><Relationship Id="rId265" Type="http://schemas.openxmlformats.org/officeDocument/2006/relationships/image" Target="media/image266.png"/><Relationship Id="rId264" Type="http://schemas.openxmlformats.org/officeDocument/2006/relationships/image" Target="media/image265.png"/><Relationship Id="rId263" Type="http://schemas.openxmlformats.org/officeDocument/2006/relationships/image" Target="media/image264.png"/><Relationship Id="rId262" Type="http://schemas.openxmlformats.org/officeDocument/2006/relationships/image" Target="media/image263.png"/><Relationship Id="rId261" Type="http://schemas.openxmlformats.org/officeDocument/2006/relationships/image" Target="media/image262.png"/><Relationship Id="rId260" Type="http://schemas.openxmlformats.org/officeDocument/2006/relationships/image" Target="media/image261.png"/><Relationship Id="rId26" Type="http://schemas.openxmlformats.org/officeDocument/2006/relationships/image" Target="media/image27.jpeg"/><Relationship Id="rId259" Type="http://schemas.openxmlformats.org/officeDocument/2006/relationships/image" Target="media/image260.png"/><Relationship Id="rId258" Type="http://schemas.openxmlformats.org/officeDocument/2006/relationships/image" Target="media/image259.png"/><Relationship Id="rId257" Type="http://schemas.openxmlformats.org/officeDocument/2006/relationships/image" Target="media/image258.png"/><Relationship Id="rId256" Type="http://schemas.openxmlformats.org/officeDocument/2006/relationships/image" Target="media/image257.png"/><Relationship Id="rId255" Type="http://schemas.openxmlformats.org/officeDocument/2006/relationships/image" Target="media/image256.png"/><Relationship Id="rId254" Type="http://schemas.openxmlformats.org/officeDocument/2006/relationships/image" Target="media/image255.png"/><Relationship Id="rId253" Type="http://schemas.openxmlformats.org/officeDocument/2006/relationships/image" Target="media/image254.png"/><Relationship Id="rId252" Type="http://schemas.openxmlformats.org/officeDocument/2006/relationships/image" Target="media/image253.png"/><Relationship Id="rId251" Type="http://schemas.openxmlformats.org/officeDocument/2006/relationships/image" Target="media/image252.png"/><Relationship Id="rId250" Type="http://schemas.openxmlformats.org/officeDocument/2006/relationships/image" Target="media/image251.png"/><Relationship Id="rId25" Type="http://schemas.openxmlformats.org/officeDocument/2006/relationships/image" Target="media/image26.jpeg"/><Relationship Id="rId249" Type="http://schemas.openxmlformats.org/officeDocument/2006/relationships/image" Target="media/image250.png"/><Relationship Id="rId248" Type="http://schemas.openxmlformats.org/officeDocument/2006/relationships/image" Target="media/image249.png"/><Relationship Id="rId247" Type="http://schemas.openxmlformats.org/officeDocument/2006/relationships/image" Target="media/image248.png"/><Relationship Id="rId246" Type="http://schemas.openxmlformats.org/officeDocument/2006/relationships/image" Target="media/image247.png"/><Relationship Id="rId245" Type="http://schemas.openxmlformats.org/officeDocument/2006/relationships/image" Target="media/image246.png"/><Relationship Id="rId244" Type="http://schemas.openxmlformats.org/officeDocument/2006/relationships/image" Target="media/image245.png"/><Relationship Id="rId243" Type="http://schemas.openxmlformats.org/officeDocument/2006/relationships/image" Target="media/image244.png"/><Relationship Id="rId242" Type="http://schemas.openxmlformats.org/officeDocument/2006/relationships/image" Target="media/image243.png"/><Relationship Id="rId241" Type="http://schemas.openxmlformats.org/officeDocument/2006/relationships/image" Target="media/image242.png"/><Relationship Id="rId240" Type="http://schemas.openxmlformats.org/officeDocument/2006/relationships/image" Target="media/image241.png"/><Relationship Id="rId24" Type="http://schemas.openxmlformats.org/officeDocument/2006/relationships/image" Target="media/image25.jpeg"/><Relationship Id="rId239" Type="http://schemas.openxmlformats.org/officeDocument/2006/relationships/image" Target="media/image240.png"/><Relationship Id="rId238" Type="http://schemas.openxmlformats.org/officeDocument/2006/relationships/image" Target="media/image239.png"/><Relationship Id="rId237" Type="http://schemas.openxmlformats.org/officeDocument/2006/relationships/image" Target="media/image238.png"/><Relationship Id="rId236" Type="http://schemas.openxmlformats.org/officeDocument/2006/relationships/image" Target="media/image237.png"/><Relationship Id="rId235" Type="http://schemas.openxmlformats.org/officeDocument/2006/relationships/image" Target="media/image236.png"/><Relationship Id="rId234" Type="http://schemas.openxmlformats.org/officeDocument/2006/relationships/image" Target="media/image235.png"/><Relationship Id="rId233" Type="http://schemas.openxmlformats.org/officeDocument/2006/relationships/image" Target="media/image234.png"/><Relationship Id="rId232" Type="http://schemas.openxmlformats.org/officeDocument/2006/relationships/image" Target="media/image233.png"/><Relationship Id="rId231" Type="http://schemas.openxmlformats.org/officeDocument/2006/relationships/image" Target="media/image232.png"/><Relationship Id="rId230" Type="http://schemas.openxmlformats.org/officeDocument/2006/relationships/image" Target="media/image231.png"/><Relationship Id="rId23" Type="http://schemas.openxmlformats.org/officeDocument/2006/relationships/image" Target="media/image24.jpeg"/><Relationship Id="rId229" Type="http://schemas.openxmlformats.org/officeDocument/2006/relationships/image" Target="media/image230.png"/><Relationship Id="rId228" Type="http://schemas.openxmlformats.org/officeDocument/2006/relationships/image" Target="media/image229.png"/><Relationship Id="rId227" Type="http://schemas.openxmlformats.org/officeDocument/2006/relationships/image" Target="media/image228.png"/><Relationship Id="rId226" Type="http://schemas.openxmlformats.org/officeDocument/2006/relationships/image" Target="media/image227.png"/><Relationship Id="rId225" Type="http://schemas.openxmlformats.org/officeDocument/2006/relationships/image" Target="media/image226.png"/><Relationship Id="rId224" Type="http://schemas.openxmlformats.org/officeDocument/2006/relationships/image" Target="media/image225.png"/><Relationship Id="rId223" Type="http://schemas.openxmlformats.org/officeDocument/2006/relationships/image" Target="media/image224.png"/><Relationship Id="rId222" Type="http://schemas.openxmlformats.org/officeDocument/2006/relationships/image" Target="media/image223.png"/><Relationship Id="rId221" Type="http://schemas.openxmlformats.org/officeDocument/2006/relationships/image" Target="media/image222.png"/><Relationship Id="rId220" Type="http://schemas.openxmlformats.org/officeDocument/2006/relationships/image" Target="media/image221.png"/><Relationship Id="rId22" Type="http://schemas.openxmlformats.org/officeDocument/2006/relationships/image" Target="media/image23.jpeg"/><Relationship Id="rId219" Type="http://schemas.openxmlformats.org/officeDocument/2006/relationships/image" Target="media/image220.png"/><Relationship Id="rId218" Type="http://schemas.openxmlformats.org/officeDocument/2006/relationships/image" Target="media/image219.png"/><Relationship Id="rId217" Type="http://schemas.openxmlformats.org/officeDocument/2006/relationships/image" Target="media/image218.png"/><Relationship Id="rId216" Type="http://schemas.openxmlformats.org/officeDocument/2006/relationships/image" Target="media/image217.png"/><Relationship Id="rId215" Type="http://schemas.openxmlformats.org/officeDocument/2006/relationships/image" Target="media/image216.png"/><Relationship Id="rId214" Type="http://schemas.openxmlformats.org/officeDocument/2006/relationships/image" Target="media/image215.png"/><Relationship Id="rId213" Type="http://schemas.openxmlformats.org/officeDocument/2006/relationships/image" Target="media/image214.png"/><Relationship Id="rId212" Type="http://schemas.openxmlformats.org/officeDocument/2006/relationships/image" Target="media/image213.png"/><Relationship Id="rId211" Type="http://schemas.openxmlformats.org/officeDocument/2006/relationships/image" Target="media/image212.png"/><Relationship Id="rId210" Type="http://schemas.openxmlformats.org/officeDocument/2006/relationships/image" Target="media/image211.png"/><Relationship Id="rId21" Type="http://schemas.openxmlformats.org/officeDocument/2006/relationships/image" Target="media/image22.jpeg"/><Relationship Id="rId209" Type="http://schemas.openxmlformats.org/officeDocument/2006/relationships/image" Target="media/image210.png"/><Relationship Id="rId208" Type="http://schemas.openxmlformats.org/officeDocument/2006/relationships/image" Target="media/image209.png"/><Relationship Id="rId207" Type="http://schemas.openxmlformats.org/officeDocument/2006/relationships/image" Target="media/image208.png"/><Relationship Id="rId206" Type="http://schemas.openxmlformats.org/officeDocument/2006/relationships/image" Target="media/image207.png"/><Relationship Id="rId205" Type="http://schemas.openxmlformats.org/officeDocument/2006/relationships/image" Target="media/image206.png"/><Relationship Id="rId204" Type="http://schemas.openxmlformats.org/officeDocument/2006/relationships/image" Target="media/image205.png"/><Relationship Id="rId203" Type="http://schemas.openxmlformats.org/officeDocument/2006/relationships/image" Target="media/image204.png"/><Relationship Id="rId202" Type="http://schemas.openxmlformats.org/officeDocument/2006/relationships/image" Target="media/image203.png"/><Relationship Id="rId201" Type="http://schemas.openxmlformats.org/officeDocument/2006/relationships/image" Target="media/image202.png"/><Relationship Id="rId200" Type="http://schemas.openxmlformats.org/officeDocument/2006/relationships/image" Target="media/image201.png"/><Relationship Id="rId20" Type="http://schemas.openxmlformats.org/officeDocument/2006/relationships/image" Target="media/image21.png"/><Relationship Id="rId2" Type="http://schemas.openxmlformats.org/officeDocument/2006/relationships/image" Target="media/image3.png"/><Relationship Id="rId199" Type="http://schemas.openxmlformats.org/officeDocument/2006/relationships/image" Target="media/image200.png"/><Relationship Id="rId198" Type="http://schemas.openxmlformats.org/officeDocument/2006/relationships/image" Target="media/image199.png"/><Relationship Id="rId197" Type="http://schemas.openxmlformats.org/officeDocument/2006/relationships/image" Target="media/image198.png"/><Relationship Id="rId196" Type="http://schemas.openxmlformats.org/officeDocument/2006/relationships/image" Target="media/image197.png"/><Relationship Id="rId195" Type="http://schemas.openxmlformats.org/officeDocument/2006/relationships/image" Target="media/image196.png"/><Relationship Id="rId194" Type="http://schemas.openxmlformats.org/officeDocument/2006/relationships/image" Target="media/image195.png"/><Relationship Id="rId193" Type="http://schemas.openxmlformats.org/officeDocument/2006/relationships/image" Target="media/image194.png"/><Relationship Id="rId192" Type="http://schemas.openxmlformats.org/officeDocument/2006/relationships/image" Target="media/image193.png"/><Relationship Id="rId191" Type="http://schemas.openxmlformats.org/officeDocument/2006/relationships/image" Target="media/image192.png"/><Relationship Id="rId190" Type="http://schemas.openxmlformats.org/officeDocument/2006/relationships/image" Target="media/image191.png"/><Relationship Id="rId19" Type="http://schemas.openxmlformats.org/officeDocument/2006/relationships/image" Target="media/image20.jpeg"/><Relationship Id="rId189" Type="http://schemas.openxmlformats.org/officeDocument/2006/relationships/image" Target="media/image190.png"/><Relationship Id="rId188" Type="http://schemas.openxmlformats.org/officeDocument/2006/relationships/image" Target="media/image189.png"/><Relationship Id="rId187" Type="http://schemas.openxmlformats.org/officeDocument/2006/relationships/image" Target="media/image188.png"/><Relationship Id="rId186" Type="http://schemas.openxmlformats.org/officeDocument/2006/relationships/image" Target="media/image187.png"/><Relationship Id="rId185" Type="http://schemas.openxmlformats.org/officeDocument/2006/relationships/image" Target="media/image186.png"/><Relationship Id="rId184" Type="http://schemas.openxmlformats.org/officeDocument/2006/relationships/image" Target="media/image185.png"/><Relationship Id="rId183" Type="http://schemas.openxmlformats.org/officeDocument/2006/relationships/image" Target="media/image184.png"/><Relationship Id="rId182" Type="http://schemas.openxmlformats.org/officeDocument/2006/relationships/image" Target="media/image183.png"/><Relationship Id="rId181" Type="http://schemas.openxmlformats.org/officeDocument/2006/relationships/image" Target="media/image182.png"/><Relationship Id="rId180" Type="http://schemas.openxmlformats.org/officeDocument/2006/relationships/image" Target="media/image181.png"/><Relationship Id="rId18" Type="http://schemas.openxmlformats.org/officeDocument/2006/relationships/image" Target="media/image19.jpeg"/><Relationship Id="rId179" Type="http://schemas.openxmlformats.org/officeDocument/2006/relationships/image" Target="media/image180.png"/><Relationship Id="rId178" Type="http://schemas.openxmlformats.org/officeDocument/2006/relationships/image" Target="media/image179.png"/><Relationship Id="rId177" Type="http://schemas.openxmlformats.org/officeDocument/2006/relationships/image" Target="media/image178.png"/><Relationship Id="rId176" Type="http://schemas.openxmlformats.org/officeDocument/2006/relationships/image" Target="media/image177.png"/><Relationship Id="rId175" Type="http://schemas.openxmlformats.org/officeDocument/2006/relationships/image" Target="media/image176.png"/><Relationship Id="rId174" Type="http://schemas.openxmlformats.org/officeDocument/2006/relationships/image" Target="media/image175.png"/><Relationship Id="rId173" Type="http://schemas.openxmlformats.org/officeDocument/2006/relationships/image" Target="media/image174.png"/><Relationship Id="rId172" Type="http://schemas.openxmlformats.org/officeDocument/2006/relationships/image" Target="media/image173.png"/><Relationship Id="rId171" Type="http://schemas.openxmlformats.org/officeDocument/2006/relationships/image" Target="media/image172.png"/><Relationship Id="rId170" Type="http://schemas.openxmlformats.org/officeDocument/2006/relationships/image" Target="media/image171.png"/><Relationship Id="rId17" Type="http://schemas.openxmlformats.org/officeDocument/2006/relationships/image" Target="media/image18.jpeg"/><Relationship Id="rId169" Type="http://schemas.openxmlformats.org/officeDocument/2006/relationships/image" Target="media/image170.png"/><Relationship Id="rId168" Type="http://schemas.openxmlformats.org/officeDocument/2006/relationships/image" Target="media/image169.png"/><Relationship Id="rId167" Type="http://schemas.openxmlformats.org/officeDocument/2006/relationships/image" Target="media/image168.png"/><Relationship Id="rId166" Type="http://schemas.openxmlformats.org/officeDocument/2006/relationships/image" Target="media/image167.png"/><Relationship Id="rId165" Type="http://schemas.openxmlformats.org/officeDocument/2006/relationships/image" Target="media/image166.png"/><Relationship Id="rId164" Type="http://schemas.openxmlformats.org/officeDocument/2006/relationships/image" Target="media/image165.png"/><Relationship Id="rId163" Type="http://schemas.openxmlformats.org/officeDocument/2006/relationships/image" Target="media/image164.png"/><Relationship Id="rId162" Type="http://schemas.openxmlformats.org/officeDocument/2006/relationships/image" Target="media/image163.png"/><Relationship Id="rId161" Type="http://schemas.openxmlformats.org/officeDocument/2006/relationships/image" Target="media/image162.png"/><Relationship Id="rId160" Type="http://schemas.openxmlformats.org/officeDocument/2006/relationships/image" Target="media/image161.png"/><Relationship Id="rId16" Type="http://schemas.openxmlformats.org/officeDocument/2006/relationships/image" Target="media/image17.jpeg"/><Relationship Id="rId159" Type="http://schemas.openxmlformats.org/officeDocument/2006/relationships/image" Target="media/image160.png"/><Relationship Id="rId158" Type="http://schemas.openxmlformats.org/officeDocument/2006/relationships/image" Target="media/image159.png"/><Relationship Id="rId157" Type="http://schemas.openxmlformats.org/officeDocument/2006/relationships/image" Target="media/image158.png"/><Relationship Id="rId156" Type="http://schemas.openxmlformats.org/officeDocument/2006/relationships/image" Target="media/image157.png"/><Relationship Id="rId155" Type="http://schemas.openxmlformats.org/officeDocument/2006/relationships/image" Target="media/image156.png"/><Relationship Id="rId154" Type="http://schemas.openxmlformats.org/officeDocument/2006/relationships/image" Target="media/image155.png"/><Relationship Id="rId153" Type="http://schemas.openxmlformats.org/officeDocument/2006/relationships/image" Target="media/image154.png"/><Relationship Id="rId152" Type="http://schemas.openxmlformats.org/officeDocument/2006/relationships/image" Target="media/image153.png"/><Relationship Id="rId151" Type="http://schemas.openxmlformats.org/officeDocument/2006/relationships/image" Target="media/image152.png"/><Relationship Id="rId150" Type="http://schemas.openxmlformats.org/officeDocument/2006/relationships/image" Target="media/image151.png"/><Relationship Id="rId15" Type="http://schemas.openxmlformats.org/officeDocument/2006/relationships/image" Target="media/image16.jpeg"/><Relationship Id="rId149" Type="http://schemas.openxmlformats.org/officeDocument/2006/relationships/image" Target="media/image150.png"/><Relationship Id="rId148" Type="http://schemas.openxmlformats.org/officeDocument/2006/relationships/image" Target="media/image149.png"/><Relationship Id="rId147" Type="http://schemas.openxmlformats.org/officeDocument/2006/relationships/image" Target="media/image148.png"/><Relationship Id="rId146" Type="http://schemas.openxmlformats.org/officeDocument/2006/relationships/image" Target="media/image147.png"/><Relationship Id="rId145" Type="http://schemas.openxmlformats.org/officeDocument/2006/relationships/image" Target="media/image146.png"/><Relationship Id="rId144" Type="http://schemas.openxmlformats.org/officeDocument/2006/relationships/image" Target="media/image145.png"/><Relationship Id="rId143" Type="http://schemas.openxmlformats.org/officeDocument/2006/relationships/image" Target="media/image144.png"/><Relationship Id="rId142" Type="http://schemas.openxmlformats.org/officeDocument/2006/relationships/image" Target="media/image143.png"/><Relationship Id="rId141" Type="http://schemas.openxmlformats.org/officeDocument/2006/relationships/image" Target="media/image142.png"/><Relationship Id="rId140" Type="http://schemas.openxmlformats.org/officeDocument/2006/relationships/image" Target="media/image141.png"/><Relationship Id="rId14" Type="http://schemas.openxmlformats.org/officeDocument/2006/relationships/image" Target="media/image15.png"/><Relationship Id="rId139" Type="http://schemas.openxmlformats.org/officeDocument/2006/relationships/image" Target="media/image140.png"/><Relationship Id="rId138" Type="http://schemas.openxmlformats.org/officeDocument/2006/relationships/image" Target="media/image139.png"/><Relationship Id="rId137" Type="http://schemas.openxmlformats.org/officeDocument/2006/relationships/image" Target="media/image138.png"/><Relationship Id="rId136" Type="http://schemas.openxmlformats.org/officeDocument/2006/relationships/image" Target="media/image137.png"/><Relationship Id="rId135" Type="http://schemas.openxmlformats.org/officeDocument/2006/relationships/image" Target="media/image136.png"/><Relationship Id="rId134" Type="http://schemas.openxmlformats.org/officeDocument/2006/relationships/image" Target="media/image135.png"/><Relationship Id="rId133" Type="http://schemas.openxmlformats.org/officeDocument/2006/relationships/image" Target="media/image134.png"/><Relationship Id="rId132" Type="http://schemas.openxmlformats.org/officeDocument/2006/relationships/image" Target="media/image133.png"/><Relationship Id="rId131" Type="http://schemas.openxmlformats.org/officeDocument/2006/relationships/image" Target="media/image132.png"/><Relationship Id="rId130" Type="http://schemas.openxmlformats.org/officeDocument/2006/relationships/image" Target="media/image131.png"/><Relationship Id="rId13" Type="http://schemas.openxmlformats.org/officeDocument/2006/relationships/image" Target="media/image14.png"/><Relationship Id="rId129" Type="http://schemas.openxmlformats.org/officeDocument/2006/relationships/image" Target="media/image130.png"/><Relationship Id="rId128" Type="http://schemas.openxmlformats.org/officeDocument/2006/relationships/image" Target="media/image129.png"/><Relationship Id="rId127" Type="http://schemas.openxmlformats.org/officeDocument/2006/relationships/image" Target="media/image128.png"/><Relationship Id="rId126" Type="http://schemas.openxmlformats.org/officeDocument/2006/relationships/image" Target="media/image127.png"/><Relationship Id="rId125" Type="http://schemas.openxmlformats.org/officeDocument/2006/relationships/image" Target="media/image126.png"/><Relationship Id="rId124" Type="http://schemas.openxmlformats.org/officeDocument/2006/relationships/image" Target="media/image125.png"/><Relationship Id="rId123" Type="http://schemas.openxmlformats.org/officeDocument/2006/relationships/image" Target="media/image124.png"/><Relationship Id="rId122" Type="http://schemas.openxmlformats.org/officeDocument/2006/relationships/image" Target="media/image123.png"/><Relationship Id="rId121" Type="http://schemas.openxmlformats.org/officeDocument/2006/relationships/image" Target="media/image122.png"/><Relationship Id="rId120" Type="http://schemas.openxmlformats.org/officeDocument/2006/relationships/image" Target="media/image121.png"/><Relationship Id="rId12" Type="http://schemas.openxmlformats.org/officeDocument/2006/relationships/image" Target="media/image13.jpeg"/><Relationship Id="rId119" Type="http://schemas.openxmlformats.org/officeDocument/2006/relationships/image" Target="media/image120.png"/><Relationship Id="rId118" Type="http://schemas.openxmlformats.org/officeDocument/2006/relationships/image" Target="media/image119.png"/><Relationship Id="rId117" Type="http://schemas.openxmlformats.org/officeDocument/2006/relationships/image" Target="media/image118.jpeg"/><Relationship Id="rId116" Type="http://schemas.openxmlformats.org/officeDocument/2006/relationships/image" Target="media/image117.jpeg"/><Relationship Id="rId115" Type="http://schemas.openxmlformats.org/officeDocument/2006/relationships/image" Target="media/image116.jpeg"/><Relationship Id="rId114" Type="http://schemas.openxmlformats.org/officeDocument/2006/relationships/image" Target="media/image115.jpeg"/><Relationship Id="rId113" Type="http://schemas.openxmlformats.org/officeDocument/2006/relationships/image" Target="media/image114.jpeg"/><Relationship Id="rId112" Type="http://schemas.openxmlformats.org/officeDocument/2006/relationships/image" Target="media/image113.jpeg"/><Relationship Id="rId111" Type="http://schemas.openxmlformats.org/officeDocument/2006/relationships/image" Target="media/image112.jpeg"/><Relationship Id="rId110" Type="http://schemas.openxmlformats.org/officeDocument/2006/relationships/image" Target="media/image111.png"/><Relationship Id="rId11" Type="http://schemas.openxmlformats.org/officeDocument/2006/relationships/image" Target="media/image12.jpeg"/><Relationship Id="rId109" Type="http://schemas.openxmlformats.org/officeDocument/2006/relationships/image" Target="media/image110.jpeg"/><Relationship Id="rId108" Type="http://schemas.openxmlformats.org/officeDocument/2006/relationships/image" Target="media/image109.jpeg"/><Relationship Id="rId107" Type="http://schemas.openxmlformats.org/officeDocument/2006/relationships/image" Target="media/image108.jpeg"/><Relationship Id="rId106" Type="http://schemas.openxmlformats.org/officeDocument/2006/relationships/image" Target="media/image107.jpeg"/><Relationship Id="rId105" Type="http://schemas.openxmlformats.org/officeDocument/2006/relationships/image" Target="media/image106.jpeg"/><Relationship Id="rId104" Type="http://schemas.openxmlformats.org/officeDocument/2006/relationships/image" Target="media/image105.jpeg"/><Relationship Id="rId103" Type="http://schemas.openxmlformats.org/officeDocument/2006/relationships/image" Target="media/image104.jpeg"/><Relationship Id="rId102" Type="http://schemas.openxmlformats.org/officeDocument/2006/relationships/image" Target="media/image103.jpeg"/><Relationship Id="rId101" Type="http://schemas.openxmlformats.org/officeDocument/2006/relationships/image" Target="media/image102.jpeg"/><Relationship Id="rId100" Type="http://schemas.openxmlformats.org/officeDocument/2006/relationships/image" Target="media/image101.jpeg"/><Relationship Id="rId10" Type="http://schemas.openxmlformats.org/officeDocument/2006/relationships/image" Target="media/image11.jpe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201930</xdr:colOff>
      <xdr:row>386</xdr:row>
      <xdr:rowOff>1270</xdr:rowOff>
    </xdr:from>
    <xdr:to>
      <xdr:col>3</xdr:col>
      <xdr:colOff>977900</xdr:colOff>
      <xdr:row>387</xdr:row>
      <xdr:rowOff>0</xdr:rowOff>
    </xdr:to>
    <xdr:pic>
      <xdr:nvPicPr>
        <xdr:cNvPr id="74" name="ID_2B72E060FA6948689F6D17581ACDA5A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134860" y="433008405"/>
          <a:ext cx="775970" cy="7607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778"/>
  <sheetViews>
    <sheetView tabSelected="1" zoomScale="70" zoomScaleNormal="70" topLeftCell="A11" workbookViewId="0">
      <selection activeCell="G17" sqref="G17"/>
    </sheetView>
  </sheetViews>
  <sheetFormatPr defaultColWidth="8.66666666666667" defaultRowHeight="23.25"/>
  <cols>
    <col min="1" max="1" width="72.9333333333333" style="2" customWidth="1"/>
    <col min="2" max="2" width="19.7142857142857" customWidth="1"/>
    <col min="3" max="3" width="11.3333333333333" customWidth="1"/>
    <col min="4" max="4" width="16.6666666666667" customWidth="1"/>
    <col min="5" max="5" width="16.5047619047619" style="3" customWidth="1"/>
    <col min="6" max="6" width="17.847619047619" style="4" customWidth="1"/>
    <col min="7" max="7" width="29.9714285714286" style="5" customWidth="1"/>
    <col min="8" max="8" width="22.247619047619" style="6" customWidth="1"/>
    <col min="9" max="9" width="22.247619047619" customWidth="1"/>
  </cols>
  <sheetData>
    <row r="1" ht="82" customHeight="1" spans="1:9">
      <c r="A1" s="7" t="s">
        <v>0</v>
      </c>
      <c r="B1" s="8" t="s">
        <v>1</v>
      </c>
      <c r="C1" s="9" t="s">
        <v>2</v>
      </c>
      <c r="D1" s="7" t="s">
        <v>3</v>
      </c>
      <c r="E1" s="10" t="s">
        <v>4</v>
      </c>
      <c r="F1" s="7" t="s">
        <v>5</v>
      </c>
      <c r="G1" s="11" t="s">
        <v>6</v>
      </c>
      <c r="H1" s="12" t="s">
        <v>7</v>
      </c>
      <c r="I1" s="12" t="s">
        <v>8</v>
      </c>
    </row>
    <row r="2" ht="60" customHeight="1" spans="1:9">
      <c r="A2" s="1" t="s">
        <v>9</v>
      </c>
      <c r="B2" s="13"/>
      <c r="C2" s="13"/>
      <c r="D2" s="13"/>
      <c r="E2" s="13"/>
      <c r="F2" s="13"/>
      <c r="G2" s="14"/>
      <c r="H2" s="13"/>
      <c r="I2" s="13"/>
    </row>
    <row r="3" ht="98" customHeight="1" spans="1:9">
      <c r="A3" s="15" t="s">
        <v>10</v>
      </c>
      <c r="B3" s="15" t="s">
        <v>11</v>
      </c>
      <c r="C3" s="16" t="s">
        <v>12</v>
      </c>
      <c r="D3" s="17" t="str">
        <f>_xlfn.DISPIMG("ID_7335E259DBE54A61BAC9826590D93DA5",1)</f>
        <v>=DISPIMG("ID_7335E259DBE54A61BAC9826590D93DA5",1)</v>
      </c>
      <c r="E3" s="18">
        <v>36</v>
      </c>
      <c r="F3" s="19"/>
      <c r="G3" s="18">
        <v>20</v>
      </c>
      <c r="H3" s="20">
        <v>17</v>
      </c>
      <c r="I3" s="19">
        <v>19</v>
      </c>
    </row>
    <row r="4" ht="98" customHeight="1" spans="1:9">
      <c r="A4" s="15" t="s">
        <v>13</v>
      </c>
      <c r="B4" s="15" t="s">
        <v>14</v>
      </c>
      <c r="C4" s="16" t="s">
        <v>12</v>
      </c>
      <c r="D4" s="17" t="str">
        <f>_xlfn.DISPIMG("ID_A8B6904A526C4935A83F7FB21929C654",1)</f>
        <v>=DISPIMG("ID_A8B6904A526C4935A83F7FB21929C654",1)</v>
      </c>
      <c r="E4" s="18">
        <v>9</v>
      </c>
      <c r="F4" s="19">
        <v>22</v>
      </c>
      <c r="G4" s="18">
        <v>23.5</v>
      </c>
      <c r="H4" s="20">
        <v>23</v>
      </c>
      <c r="I4" s="19">
        <v>23.5</v>
      </c>
    </row>
    <row r="5" ht="98" customHeight="1" spans="1:9">
      <c r="A5" s="15" t="s">
        <v>15</v>
      </c>
      <c r="B5" s="15" t="s">
        <v>16</v>
      </c>
      <c r="C5" s="16" t="s">
        <v>12</v>
      </c>
      <c r="D5" s="17" t="str">
        <f>_xlfn.DISPIMG("ID_1BE72FCBCAD44E6A881BC40810975655",1)</f>
        <v>=DISPIMG("ID_1BE72FCBCAD44E6A881BC40810975655",1)</v>
      </c>
      <c r="E5" s="18">
        <v>9</v>
      </c>
      <c r="F5" s="19"/>
      <c r="G5" s="18">
        <v>23.5</v>
      </c>
      <c r="H5" s="20">
        <v>23</v>
      </c>
      <c r="I5" s="19">
        <v>23.5</v>
      </c>
    </row>
    <row r="6" ht="98" customHeight="1" spans="1:9">
      <c r="A6" s="15" t="s">
        <v>17</v>
      </c>
      <c r="B6" s="15" t="s">
        <v>18</v>
      </c>
      <c r="C6" s="16" t="s">
        <v>12</v>
      </c>
      <c r="D6" s="17" t="str">
        <f>_xlfn.DISPIMG("ID_A59CDC0E39344E89B930390066087021",1)</f>
        <v>=DISPIMG("ID_A59CDC0E39344E89B930390066087021",1)</v>
      </c>
      <c r="E6" s="18">
        <v>36</v>
      </c>
      <c r="F6" s="19">
        <v>23</v>
      </c>
      <c r="G6" s="18">
        <v>26</v>
      </c>
      <c r="H6" s="20">
        <v>24</v>
      </c>
      <c r="I6" s="19">
        <v>26</v>
      </c>
    </row>
    <row r="7" ht="60" customHeight="1" spans="1:9">
      <c r="A7" s="1" t="s">
        <v>19</v>
      </c>
      <c r="B7" s="13"/>
      <c r="C7" s="13"/>
      <c r="D7" s="13"/>
      <c r="E7" s="13"/>
      <c r="F7" s="13"/>
      <c r="G7" s="14"/>
      <c r="H7" s="13"/>
      <c r="I7" s="13"/>
    </row>
    <row r="8" ht="98" customHeight="1" spans="1:9">
      <c r="A8" s="21" t="s">
        <v>20</v>
      </c>
      <c r="B8" s="15" t="s">
        <v>21</v>
      </c>
      <c r="C8" s="16" t="s">
        <v>12</v>
      </c>
      <c r="D8" s="17" t="str">
        <f>_xlfn.DISPIMG("ID_A182E92B57BD4504B4A935B5DA825D52",1)</f>
        <v>=DISPIMG("ID_A182E92B57BD4504B4A935B5DA825D52",1)</v>
      </c>
      <c r="E8" s="18">
        <v>9</v>
      </c>
      <c r="F8" s="19"/>
      <c r="G8" s="18">
        <v>25.5</v>
      </c>
      <c r="H8" s="20">
        <v>24</v>
      </c>
      <c r="I8" s="19">
        <v>26</v>
      </c>
    </row>
    <row r="9" ht="98" customHeight="1" spans="1:9">
      <c r="A9" s="21" t="s">
        <v>22</v>
      </c>
      <c r="B9" s="15" t="s">
        <v>23</v>
      </c>
      <c r="C9" s="16" t="s">
        <v>12</v>
      </c>
      <c r="D9" s="17" t="str">
        <f>_xlfn.DISPIMG("ID_564AC6A76BD5420095C917E713EA78F7",1)</f>
        <v>=DISPIMG("ID_564AC6A76BD5420095C917E713EA78F7",1)</v>
      </c>
      <c r="E9" s="18">
        <v>9</v>
      </c>
      <c r="F9" s="19"/>
      <c r="G9" s="18">
        <v>25.5</v>
      </c>
      <c r="H9" s="20">
        <v>24</v>
      </c>
      <c r="I9" s="19">
        <v>26</v>
      </c>
    </row>
    <row r="10" ht="95" customHeight="1" spans="1:9">
      <c r="A10" s="21" t="s">
        <v>24</v>
      </c>
      <c r="B10" s="15" t="s">
        <v>25</v>
      </c>
      <c r="C10" s="16" t="s">
        <v>12</v>
      </c>
      <c r="D10" s="17" t="str">
        <f>_xlfn.DISPIMG("ID_70D18F0D1ACC4D94B640B7E26C63D2E9",1)</f>
        <v>=DISPIMG("ID_70D18F0D1ACC4D94B640B7E26C63D2E9",1)</v>
      </c>
      <c r="E10" s="18">
        <v>9</v>
      </c>
      <c r="F10" s="19"/>
      <c r="G10" s="18">
        <v>25.5</v>
      </c>
      <c r="H10" s="20">
        <v>24</v>
      </c>
      <c r="I10" s="19">
        <v>26</v>
      </c>
    </row>
    <row r="11" ht="95" customHeight="1" spans="1:9">
      <c r="A11" s="21" t="s">
        <v>26</v>
      </c>
      <c r="B11" s="15" t="s">
        <v>27</v>
      </c>
      <c r="C11" s="16" t="s">
        <v>12</v>
      </c>
      <c r="D11" s="17" t="str">
        <f>_xlfn.DISPIMG("ID_74E39F17FEAB4F35A62FD0174C5CFE30",1)</f>
        <v>=DISPIMG("ID_74E39F17FEAB4F35A62FD0174C5CFE30",1)</v>
      </c>
      <c r="E11" s="18">
        <v>9</v>
      </c>
      <c r="F11" s="19"/>
      <c r="G11" s="18">
        <v>25.5</v>
      </c>
      <c r="H11" s="20">
        <v>24</v>
      </c>
      <c r="I11" s="19">
        <v>26</v>
      </c>
    </row>
    <row r="12" ht="95" customHeight="1" spans="1:9">
      <c r="A12" s="21" t="s">
        <v>28</v>
      </c>
      <c r="B12" s="15" t="s">
        <v>29</v>
      </c>
      <c r="C12" s="16" t="s">
        <v>12</v>
      </c>
      <c r="D12" s="17" t="str">
        <f>_xlfn.DISPIMG("ID_B143B8E293A44CBFB05F1688521441C8",1)</f>
        <v>=DISPIMG("ID_B143B8E293A44CBFB05F1688521441C8",1)</v>
      </c>
      <c r="E12" s="18">
        <v>9</v>
      </c>
      <c r="F12" s="19"/>
      <c r="G12" s="18">
        <v>25.5</v>
      </c>
      <c r="H12" s="20">
        <v>24</v>
      </c>
      <c r="I12" s="19">
        <v>26</v>
      </c>
    </row>
    <row r="13" ht="95" customHeight="1" spans="1:9">
      <c r="A13" s="21" t="s">
        <v>30</v>
      </c>
      <c r="B13" s="15" t="s">
        <v>31</v>
      </c>
      <c r="C13" s="16" t="s">
        <v>12</v>
      </c>
      <c r="D13" s="17" t="str">
        <f>_xlfn.DISPIMG("ID_45649BD7740548AF954AD544563977E0",1)</f>
        <v>=DISPIMG("ID_45649BD7740548AF954AD544563977E0",1)</v>
      </c>
      <c r="E13" s="18">
        <v>9</v>
      </c>
      <c r="F13" s="19"/>
      <c r="G13" s="18">
        <v>26</v>
      </c>
      <c r="H13" s="20">
        <v>24</v>
      </c>
      <c r="I13" s="19">
        <v>26</v>
      </c>
    </row>
    <row r="14" ht="95" customHeight="1" spans="1:9">
      <c r="A14" s="21" t="s">
        <v>32</v>
      </c>
      <c r="B14" s="15" t="s">
        <v>33</v>
      </c>
      <c r="C14" s="16" t="s">
        <v>12</v>
      </c>
      <c r="D14" s="17" t="str">
        <f>_xlfn.DISPIMG("ID_222A2449F176469388513FC182C9F41A",1)</f>
        <v>=DISPIMG("ID_222A2449F176469388513FC182C9F41A",1)</v>
      </c>
      <c r="E14" s="18">
        <v>24</v>
      </c>
      <c r="F14" s="19"/>
      <c r="G14" s="18">
        <v>27</v>
      </c>
      <c r="H14" s="20">
        <v>25</v>
      </c>
      <c r="I14" s="19">
        <v>27</v>
      </c>
    </row>
    <row r="15" ht="95" customHeight="1" spans="1:9">
      <c r="A15" s="21" t="s">
        <v>34</v>
      </c>
      <c r="B15" s="15" t="s">
        <v>35</v>
      </c>
      <c r="C15" s="16" t="s">
        <v>12</v>
      </c>
      <c r="D15" s="17" t="str">
        <f>_xlfn.DISPIMG("ID_B60AC119B8FB4D759BDEB7E9187E19BD",1)</f>
        <v>=DISPIMG("ID_B60AC119B8FB4D759BDEB7E9187E19BD",1)</v>
      </c>
      <c r="E15" s="18">
        <v>24</v>
      </c>
      <c r="F15" s="19">
        <v>24</v>
      </c>
      <c r="G15" s="18">
        <v>27</v>
      </c>
      <c r="H15" s="20">
        <v>25</v>
      </c>
      <c r="I15" s="19">
        <v>27</v>
      </c>
    </row>
    <row r="16" ht="95" customHeight="1" spans="1:9">
      <c r="A16" s="1" t="s">
        <v>36</v>
      </c>
      <c r="B16" s="13"/>
      <c r="C16" s="13"/>
      <c r="D16" s="13"/>
      <c r="E16" s="13"/>
      <c r="F16" s="13"/>
      <c r="G16" s="14"/>
      <c r="H16" s="13"/>
      <c r="I16" s="13"/>
    </row>
    <row r="17" ht="95" customHeight="1" spans="1:9">
      <c r="A17" s="21" t="s">
        <v>37</v>
      </c>
      <c r="B17" s="15" t="s">
        <v>38</v>
      </c>
      <c r="C17" s="16" t="s">
        <v>12</v>
      </c>
      <c r="D17" s="17" t="str">
        <f>_xlfn.DISPIMG("ID_7ED7A4D970C64F56ADE77F45667FC2FC",1)</f>
        <v>=DISPIMG("ID_7ED7A4D970C64F56ADE77F45667FC2FC",1)</v>
      </c>
      <c r="E17" s="18">
        <v>36</v>
      </c>
      <c r="F17" s="19"/>
      <c r="G17" s="18">
        <v>48</v>
      </c>
      <c r="H17" s="22">
        <v>45</v>
      </c>
      <c r="I17" s="19">
        <v>47</v>
      </c>
    </row>
    <row r="18" ht="95" customHeight="1" spans="1:9">
      <c r="A18" s="21" t="s">
        <v>39</v>
      </c>
      <c r="B18" s="15" t="s">
        <v>40</v>
      </c>
      <c r="C18" s="16" t="s">
        <v>12</v>
      </c>
      <c r="D18" s="17" t="str">
        <f>_xlfn.DISPIMG("ID_5F36B80A316C4654A1DDB4A6E2C297F5",1)</f>
        <v>=DISPIMG("ID_5F36B80A316C4654A1DDB4A6E2C297F5",1)</v>
      </c>
      <c r="E18" s="18">
        <v>18</v>
      </c>
      <c r="F18" s="19"/>
      <c r="G18" s="18">
        <v>48</v>
      </c>
      <c r="H18" s="22">
        <v>45</v>
      </c>
      <c r="I18" s="19">
        <v>47</v>
      </c>
    </row>
    <row r="19" ht="95" customHeight="1" spans="1:9">
      <c r="A19" s="21" t="s">
        <v>41</v>
      </c>
      <c r="B19" s="15" t="s">
        <v>42</v>
      </c>
      <c r="C19" s="16" t="s">
        <v>12</v>
      </c>
      <c r="D19" s="17" t="str">
        <f>_xlfn.DISPIMG("ID_88D97FEB1C344F89A6904A5BE5BA1EEE",1)</f>
        <v>=DISPIMG("ID_88D97FEB1C344F89A6904A5BE5BA1EEE",1)</v>
      </c>
      <c r="E19" s="18">
        <v>36</v>
      </c>
      <c r="F19" s="19"/>
      <c r="G19" s="18">
        <v>48</v>
      </c>
      <c r="H19" s="22">
        <v>45</v>
      </c>
      <c r="I19" s="19">
        <v>47</v>
      </c>
    </row>
    <row r="20" ht="95" customHeight="1" spans="1:9">
      <c r="A20" s="21" t="s">
        <v>43</v>
      </c>
      <c r="B20" s="15" t="s">
        <v>44</v>
      </c>
      <c r="C20" s="16" t="s">
        <v>12</v>
      </c>
      <c r="D20" s="17" t="str">
        <f>_xlfn.DISPIMG("ID_97A55F4D11544A479A105A53A959B3CE",1)</f>
        <v>=DISPIMG("ID_97A55F4D11544A479A105A53A959B3CE",1)</v>
      </c>
      <c r="E20" s="18">
        <v>18</v>
      </c>
      <c r="F20" s="19"/>
      <c r="G20" s="18">
        <v>48</v>
      </c>
      <c r="H20" s="22">
        <v>45</v>
      </c>
      <c r="I20" s="19">
        <v>47</v>
      </c>
    </row>
    <row r="21" ht="95" customHeight="1" spans="1:9">
      <c r="A21" s="21" t="s">
        <v>45</v>
      </c>
      <c r="B21" s="15" t="s">
        <v>46</v>
      </c>
      <c r="C21" s="16" t="s">
        <v>12</v>
      </c>
      <c r="D21" s="17" t="str">
        <f>_xlfn.DISPIMG("ID_40685800248E41ADA1E51FE51B195BC8",1)</f>
        <v>=DISPIMG("ID_40685800248E41ADA1E51FE51B195BC8",1)</v>
      </c>
      <c r="E21" s="18">
        <v>36</v>
      </c>
      <c r="F21" s="19"/>
      <c r="G21" s="18">
        <v>48</v>
      </c>
      <c r="H21" s="22">
        <v>45</v>
      </c>
      <c r="I21" s="19">
        <v>47</v>
      </c>
    </row>
    <row r="22" ht="95" customHeight="1" spans="1:9">
      <c r="A22" s="21" t="s">
        <v>47</v>
      </c>
      <c r="B22" s="15" t="s">
        <v>48</v>
      </c>
      <c r="C22" s="16" t="s">
        <v>12</v>
      </c>
      <c r="D22" s="17" t="str">
        <f>_xlfn.DISPIMG("ID_089A5BDF75464CCBA40D0E0412CF8BBF",1)</f>
        <v>=DISPIMG("ID_089A5BDF75464CCBA40D0E0412CF8BBF",1)</v>
      </c>
      <c r="E22" s="18">
        <v>18</v>
      </c>
      <c r="F22" s="19"/>
      <c r="G22" s="18">
        <v>48</v>
      </c>
      <c r="H22" s="22">
        <v>45</v>
      </c>
      <c r="I22" s="19">
        <v>47</v>
      </c>
    </row>
    <row r="23" ht="95" customHeight="1" spans="1:9">
      <c r="A23" s="21" t="s">
        <v>49</v>
      </c>
      <c r="B23" s="15" t="s">
        <v>50</v>
      </c>
      <c r="C23" s="16" t="s">
        <v>12</v>
      </c>
      <c r="D23" s="17" t="str">
        <f>_xlfn.DISPIMG("ID_70B33D6196A64BFBBFE5E30DAC19C96C",1)</f>
        <v>=DISPIMG("ID_70B33D6196A64BFBBFE5E30DAC19C96C",1)</v>
      </c>
      <c r="E23" s="18">
        <v>18</v>
      </c>
      <c r="F23" s="19"/>
      <c r="G23" s="18">
        <v>48</v>
      </c>
      <c r="H23" s="22">
        <v>45</v>
      </c>
      <c r="I23" s="19">
        <v>47</v>
      </c>
    </row>
    <row r="24" ht="95" customHeight="1" spans="1:9">
      <c r="A24" s="21" t="s">
        <v>51</v>
      </c>
      <c r="B24" s="15" t="s">
        <v>52</v>
      </c>
      <c r="C24" s="16" t="s">
        <v>12</v>
      </c>
      <c r="D24" s="17" t="str">
        <f>_xlfn.DISPIMG("ID_9041D38109B94B2FA1AA1265958C4D61",1)</f>
        <v>=DISPIMG("ID_9041D38109B94B2FA1AA1265958C4D61",1)</v>
      </c>
      <c r="E24" s="18">
        <v>18</v>
      </c>
      <c r="F24" s="19"/>
      <c r="G24" s="18">
        <v>48</v>
      </c>
      <c r="H24" s="22">
        <v>45</v>
      </c>
      <c r="I24" s="19">
        <v>47</v>
      </c>
    </row>
    <row r="25" ht="95" customHeight="1" spans="1:9">
      <c r="A25" s="21" t="s">
        <v>53</v>
      </c>
      <c r="B25" s="15" t="s">
        <v>54</v>
      </c>
      <c r="C25" s="16" t="s">
        <v>12</v>
      </c>
      <c r="D25" s="17" t="str">
        <f>_xlfn.DISPIMG("ID_F4821A2E7D3340208C5D417903B4AF20",1)</f>
        <v>=DISPIMG("ID_F4821A2E7D3340208C5D417903B4AF20",1)</v>
      </c>
      <c r="E25" s="18">
        <v>18</v>
      </c>
      <c r="F25" s="19"/>
      <c r="G25" s="18">
        <v>48</v>
      </c>
      <c r="H25" s="22">
        <v>45</v>
      </c>
      <c r="I25" s="19">
        <v>47</v>
      </c>
    </row>
    <row r="26" ht="95" customHeight="1" spans="1:9">
      <c r="A26" s="21" t="s">
        <v>55</v>
      </c>
      <c r="B26" s="15" t="s">
        <v>56</v>
      </c>
      <c r="C26" s="16" t="s">
        <v>12</v>
      </c>
      <c r="D26" s="17" t="str">
        <f>_xlfn.DISPIMG("ID_7E7953AFFD3241AFB4CC89F8A8EB7EAD",1)</f>
        <v>=DISPIMG("ID_7E7953AFFD3241AFB4CC89F8A8EB7EAD",1)</v>
      </c>
      <c r="E26" s="18">
        <v>15</v>
      </c>
      <c r="F26" s="19"/>
      <c r="G26" s="18">
        <v>48</v>
      </c>
      <c r="H26" s="22">
        <v>45</v>
      </c>
      <c r="I26" s="19">
        <v>47</v>
      </c>
    </row>
    <row r="27" ht="95" customHeight="1" spans="1:9">
      <c r="A27" s="21" t="s">
        <v>57</v>
      </c>
      <c r="B27" s="15" t="s">
        <v>58</v>
      </c>
      <c r="C27" s="16" t="s">
        <v>12</v>
      </c>
      <c r="D27" s="17" t="str">
        <f>_xlfn.DISPIMG("ID_5CDF164C2B1F4B5A8A047EACBC7159BF",1)</f>
        <v>=DISPIMG("ID_5CDF164C2B1F4B5A8A047EACBC7159BF",1)</v>
      </c>
      <c r="E27" s="18">
        <v>15</v>
      </c>
      <c r="F27" s="19"/>
      <c r="G27" s="18">
        <v>48</v>
      </c>
      <c r="H27" s="22">
        <v>45</v>
      </c>
      <c r="I27" s="19">
        <v>47</v>
      </c>
    </row>
    <row r="28" ht="95" customHeight="1" spans="1:9">
      <c r="A28" s="21" t="s">
        <v>59</v>
      </c>
      <c r="B28" s="15" t="s">
        <v>60</v>
      </c>
      <c r="C28" s="16" t="s">
        <v>12</v>
      </c>
      <c r="D28" s="17" t="str">
        <f>_xlfn.DISPIMG("ID_B3922E6834B5474AAD2A5A45AF4144A7",1)</f>
        <v>=DISPIMG("ID_B3922E6834B5474AAD2A5A45AF4144A7",1)</v>
      </c>
      <c r="E28" s="18">
        <v>15</v>
      </c>
      <c r="F28" s="19"/>
      <c r="G28" s="18">
        <v>48</v>
      </c>
      <c r="H28" s="22">
        <v>45</v>
      </c>
      <c r="I28" s="19">
        <v>47</v>
      </c>
    </row>
    <row r="29" ht="95" customHeight="1" spans="1:9">
      <c r="A29" s="21" t="s">
        <v>61</v>
      </c>
      <c r="B29" s="15" t="s">
        <v>62</v>
      </c>
      <c r="C29" s="16" t="s">
        <v>12</v>
      </c>
      <c r="D29" s="17" t="str">
        <f>_xlfn.DISPIMG("ID_7ED6FF1A09AC4DA8ACE0DDDE6AD5A665",1)</f>
        <v>=DISPIMG("ID_7ED6FF1A09AC4DA8ACE0DDDE6AD5A665",1)</v>
      </c>
      <c r="E29" s="18">
        <v>18</v>
      </c>
      <c r="F29" s="19"/>
      <c r="G29" s="18">
        <v>48</v>
      </c>
      <c r="H29" s="22">
        <v>45</v>
      </c>
      <c r="I29" s="19">
        <v>47</v>
      </c>
    </row>
    <row r="30" ht="95" customHeight="1" spans="1:9">
      <c r="A30" s="21" t="s">
        <v>63</v>
      </c>
      <c r="B30" s="15" t="s">
        <v>64</v>
      </c>
      <c r="C30" s="16" t="s">
        <v>12</v>
      </c>
      <c r="D30" s="17" t="str">
        <f>_xlfn.DISPIMG("ID_8706C7ED80814960BAF3D78388A14C18",1)</f>
        <v>=DISPIMG("ID_8706C7ED80814960BAF3D78388A14C18",1)</v>
      </c>
      <c r="E30" s="18">
        <v>18</v>
      </c>
      <c r="F30" s="19"/>
      <c r="G30" s="18">
        <v>48</v>
      </c>
      <c r="H30" s="22">
        <v>45</v>
      </c>
      <c r="I30" s="19">
        <v>47</v>
      </c>
    </row>
    <row r="31" ht="95" customHeight="1" spans="1:9">
      <c r="A31" s="21" t="s">
        <v>65</v>
      </c>
      <c r="B31" s="15" t="s">
        <v>66</v>
      </c>
      <c r="C31" s="16" t="s">
        <v>12</v>
      </c>
      <c r="D31" s="17" t="str">
        <f>_xlfn.DISPIMG("ID_032A459F4B1E4548AA8F0732C0C5A055",1)</f>
        <v>=DISPIMG("ID_032A459F4B1E4548AA8F0732C0C5A055",1)</v>
      </c>
      <c r="E31" s="18">
        <v>18</v>
      </c>
      <c r="F31" s="19"/>
      <c r="G31" s="18">
        <v>48</v>
      </c>
      <c r="H31" s="22">
        <v>45</v>
      </c>
      <c r="I31" s="19">
        <v>47</v>
      </c>
    </row>
    <row r="32" ht="95" customHeight="1" spans="1:9">
      <c r="A32" s="23" t="s">
        <v>67</v>
      </c>
      <c r="B32" s="24" t="s">
        <v>68</v>
      </c>
      <c r="C32" s="25" t="s">
        <v>12</v>
      </c>
      <c r="D32" s="26" t="str">
        <f>_xlfn.DISPIMG("ID_DDD5ED6DE77B4355BF44092FD5902983",1)</f>
        <v>=DISPIMG("ID_DDD5ED6DE77B4355BF44092FD5902983",1)</v>
      </c>
      <c r="E32" s="27">
        <v>18</v>
      </c>
      <c r="F32" s="28"/>
      <c r="G32" s="27">
        <v>48</v>
      </c>
      <c r="H32" s="29">
        <v>45</v>
      </c>
      <c r="I32" s="28">
        <v>47</v>
      </c>
    </row>
    <row r="33" s="1" customFormat="1" ht="95" customHeight="1" spans="1:12">
      <c r="A33" s="30" t="s">
        <v>69</v>
      </c>
      <c r="B33" s="30"/>
      <c r="C33" s="30"/>
      <c r="D33" s="30"/>
      <c r="E33" s="30"/>
      <c r="F33" s="30"/>
      <c r="G33" s="31"/>
      <c r="H33" s="30"/>
      <c r="I33" s="30"/>
      <c r="J33" s="32"/>
      <c r="K33" s="32"/>
      <c r="L33" s="33"/>
    </row>
    <row r="34" customFormat="1" ht="95" customHeight="1" spans="1:12">
      <c r="A34" s="21" t="s">
        <v>70</v>
      </c>
      <c r="B34" s="15" t="s">
        <v>71</v>
      </c>
      <c r="C34" s="16"/>
      <c r="D34" s="17" t="str">
        <f>_xlfn.DISPIMG("ID_B9EC0C37C5964086B12A29F1DCDD045D",1)</f>
        <v>=DISPIMG("ID_B9EC0C37C5964086B12A29F1DCDD045D",1)</v>
      </c>
      <c r="E34" s="18"/>
      <c r="F34" s="19">
        <v>18</v>
      </c>
      <c r="G34" s="18">
        <v>21</v>
      </c>
      <c r="H34" s="22">
        <v>19</v>
      </c>
      <c r="I34" s="19">
        <v>21</v>
      </c>
    </row>
    <row r="35" customFormat="1" ht="95" customHeight="1" spans="1:12">
      <c r="A35" s="21" t="s">
        <v>72</v>
      </c>
      <c r="B35" s="15" t="s">
        <v>73</v>
      </c>
      <c r="C35" s="16"/>
      <c r="D35" s="17" t="str">
        <f>_xlfn.DISPIMG("ID_E947E114484D4141914BE79F7C32DB69",1)</f>
        <v>=DISPIMG("ID_E947E114484D4141914BE79F7C32DB69",1)</v>
      </c>
      <c r="E35" s="18"/>
      <c r="F35" s="19">
        <v>23</v>
      </c>
      <c r="G35" s="18">
        <v>26</v>
      </c>
      <c r="H35" s="22">
        <v>24</v>
      </c>
      <c r="I35" s="19">
        <v>26</v>
      </c>
    </row>
    <row r="36" customFormat="1" ht="95" customHeight="1" spans="1:12">
      <c r="A36" s="21" t="s">
        <v>74</v>
      </c>
      <c r="B36" s="15" t="s">
        <v>75</v>
      </c>
      <c r="C36" s="16"/>
      <c r="D36" s="17" t="str">
        <f>_xlfn.DISPIMG("ID_D2B92321CBCA4F8C85C1F9FA756AC119",1)</f>
        <v>=DISPIMG("ID_D2B92321CBCA4F8C85C1F9FA756AC119",1)</v>
      </c>
      <c r="E36" s="18"/>
      <c r="F36" s="19">
        <v>15</v>
      </c>
      <c r="G36" s="18">
        <v>19</v>
      </c>
      <c r="H36" s="22">
        <v>17</v>
      </c>
      <c r="I36" s="19">
        <v>19</v>
      </c>
    </row>
    <row r="37" s="1" customFormat="1" ht="95" customHeight="1" spans="1:12">
      <c r="A37" s="30" t="s">
        <v>76</v>
      </c>
      <c r="B37" s="30"/>
      <c r="C37" s="30"/>
      <c r="D37" s="30"/>
      <c r="E37" s="30"/>
      <c r="F37" s="30"/>
      <c r="G37" s="31"/>
      <c r="H37" s="30"/>
      <c r="I37" s="30"/>
      <c r="J37" s="32"/>
      <c r="K37" s="32"/>
      <c r="L37" s="33"/>
    </row>
    <row r="38" ht="95" customHeight="1" spans="1:12">
      <c r="A38" s="34" t="s">
        <v>77</v>
      </c>
      <c r="B38" s="35" t="s">
        <v>78</v>
      </c>
      <c r="C38" s="36" t="s">
        <v>79</v>
      </c>
      <c r="D38" s="37" t="str">
        <f>_xlfn.DISPIMG("ID_878A636CDBCA48B389AC5B8419B103F9",1)</f>
        <v>=DISPIMG("ID_878A636CDBCA48B389AC5B8419B103F9",1)</v>
      </c>
      <c r="E38" s="38">
        <v>32</v>
      </c>
      <c r="F38" s="39">
        <v>26</v>
      </c>
      <c r="G38" s="38">
        <v>29</v>
      </c>
      <c r="H38" s="40">
        <v>27</v>
      </c>
      <c r="I38" s="39">
        <v>29</v>
      </c>
    </row>
    <row r="39" ht="95" customHeight="1" spans="1:12">
      <c r="A39" s="1" t="s">
        <v>80</v>
      </c>
      <c r="B39" s="13"/>
      <c r="C39" s="13"/>
      <c r="D39" s="13"/>
      <c r="E39" s="13"/>
      <c r="F39" s="13"/>
      <c r="G39" s="14"/>
      <c r="H39" s="13"/>
      <c r="I39" s="13"/>
    </row>
    <row r="40" ht="95" customHeight="1" spans="1:12">
      <c r="A40" s="21" t="s">
        <v>81</v>
      </c>
      <c r="B40" s="15" t="s">
        <v>82</v>
      </c>
      <c r="C40" s="16" t="s">
        <v>83</v>
      </c>
      <c r="D40" s="17" t="str">
        <f>_xlfn.DISPIMG("ID_FD5DBA124314456AAF1D34739C58D274",1)</f>
        <v>=DISPIMG("ID_FD5DBA124314456AAF1D34739C58D274",1)</v>
      </c>
      <c r="E40" s="18">
        <v>63</v>
      </c>
      <c r="F40" s="19"/>
      <c r="G40" s="18">
        <v>37</v>
      </c>
      <c r="H40" s="22">
        <v>37</v>
      </c>
      <c r="I40" s="19">
        <v>39</v>
      </c>
    </row>
    <row r="41" ht="100.15" customHeight="1" spans="1:12">
      <c r="A41" s="1" t="s">
        <v>84</v>
      </c>
      <c r="B41" s="13"/>
      <c r="C41" s="13"/>
      <c r="D41" s="13"/>
      <c r="E41" s="13"/>
      <c r="F41" s="13"/>
      <c r="G41" s="14"/>
      <c r="H41" s="13"/>
      <c r="I41" s="13"/>
    </row>
    <row r="42" ht="100.15" customHeight="1" spans="1:12">
      <c r="A42" s="21" t="s">
        <v>85</v>
      </c>
      <c r="B42" s="41" t="s">
        <v>86</v>
      </c>
      <c r="C42" s="16" t="s">
        <v>87</v>
      </c>
      <c r="D42" s="42" t="str">
        <f>_xlfn.DISPIMG("ID_E99BB7C98DDB4C85A534191CA99477DF",1)</f>
        <v>=DISPIMG("ID_E99BB7C98DDB4C85A534191CA99477DF",1)</v>
      </c>
      <c r="E42" s="18"/>
      <c r="F42" s="19"/>
      <c r="G42" s="18">
        <v>38</v>
      </c>
      <c r="H42" s="22">
        <v>36</v>
      </c>
      <c r="I42" s="19">
        <v>38</v>
      </c>
    </row>
    <row r="43" ht="100.15" customHeight="1" spans="1:12">
      <c r="A43" s="21" t="s">
        <v>88</v>
      </c>
      <c r="B43" s="41" t="s">
        <v>89</v>
      </c>
      <c r="C43" s="16" t="s">
        <v>87</v>
      </c>
      <c r="D43" s="42" t="str">
        <f>_xlfn.DISPIMG("ID_99B786CED5F54439AFF28C7EAD6732FE",1)</f>
        <v>=DISPIMG("ID_99B786CED5F54439AFF28C7EAD6732FE",1)</v>
      </c>
      <c r="E43" s="18"/>
      <c r="F43" s="19"/>
      <c r="G43" s="18">
        <v>33</v>
      </c>
      <c r="H43" s="22">
        <v>31</v>
      </c>
      <c r="I43" s="19">
        <v>33</v>
      </c>
    </row>
    <row r="44" ht="60" customHeight="1" spans="1:12">
      <c r="A44" s="21" t="s">
        <v>90</v>
      </c>
      <c r="B44" s="41" t="s">
        <v>91</v>
      </c>
      <c r="C44" s="16"/>
      <c r="D44" s="42" t="str">
        <f>_xlfn.DISPIMG("ID_093BDADC351F422785002A00C9CF75CB",1)</f>
        <v>=DISPIMG("ID_093BDADC351F422785002A00C9CF75CB",1)</v>
      </c>
      <c r="E44" s="18"/>
      <c r="F44" s="19"/>
      <c r="G44" s="18">
        <v>36</v>
      </c>
      <c r="H44" s="22">
        <v>32</v>
      </c>
      <c r="I44" s="19">
        <v>34</v>
      </c>
    </row>
    <row r="45" ht="60" customHeight="1" spans="1:12">
      <c r="A45" s="21" t="s">
        <v>92</v>
      </c>
      <c r="B45" s="41" t="s">
        <v>93</v>
      </c>
      <c r="C45" s="16"/>
      <c r="D45" s="42" t="str">
        <f>_xlfn.DISPIMG("ID_FC5E9EA2E568472CB712A450FAB47E77",1)</f>
        <v>=DISPIMG("ID_FC5E9EA2E568472CB712A450FAB47E77",1)</v>
      </c>
      <c r="E45" s="18"/>
      <c r="F45" s="19"/>
      <c r="G45" s="18">
        <v>36</v>
      </c>
      <c r="H45" s="22">
        <v>32</v>
      </c>
      <c r="I45" s="19">
        <v>34</v>
      </c>
    </row>
    <row r="46" ht="60" customHeight="1" spans="1:12">
      <c r="A46" s="21" t="s">
        <v>94</v>
      </c>
      <c r="B46" s="41" t="s">
        <v>95</v>
      </c>
      <c r="C46" s="16"/>
      <c r="D46" s="42" t="str">
        <f>_xlfn.DISPIMG("ID_DA411811D0214E46B089210BC891894B",1)</f>
        <v>=DISPIMG("ID_DA411811D0214E46B089210BC891894B",1)</v>
      </c>
      <c r="E46" s="18"/>
      <c r="F46" s="19"/>
      <c r="G46" s="18">
        <v>36</v>
      </c>
      <c r="H46" s="22">
        <v>32</v>
      </c>
      <c r="I46" s="19">
        <v>34</v>
      </c>
    </row>
    <row r="47" ht="60" customHeight="1" spans="1:12">
      <c r="A47" s="21" t="s">
        <v>96</v>
      </c>
      <c r="B47" s="41" t="s">
        <v>97</v>
      </c>
      <c r="C47" s="16"/>
      <c r="D47" s="42" t="str">
        <f>_xlfn.DISPIMG("ID_17E31EDFFEC240F18B06B206D87CBBA7",1)</f>
        <v>=DISPIMG("ID_17E31EDFFEC240F18B06B206D87CBBA7",1)</v>
      </c>
      <c r="E47" s="18"/>
      <c r="F47" s="19"/>
      <c r="G47" s="18">
        <v>11</v>
      </c>
      <c r="H47" s="22">
        <v>7</v>
      </c>
      <c r="I47" s="19">
        <v>9</v>
      </c>
    </row>
    <row r="48" ht="100.15" customHeight="1" spans="1:12">
      <c r="A48" s="1" t="s">
        <v>98</v>
      </c>
      <c r="B48" s="13"/>
      <c r="C48" s="13"/>
      <c r="D48" s="13"/>
      <c r="E48" s="13"/>
      <c r="F48" s="13"/>
      <c r="G48" s="14"/>
      <c r="H48" s="13"/>
      <c r="I48" s="13"/>
    </row>
    <row r="49" ht="95" customHeight="1" spans="1:9">
      <c r="A49" s="21" t="s">
        <v>99</v>
      </c>
      <c r="B49" s="15" t="s">
        <v>100</v>
      </c>
      <c r="C49" s="16" t="s">
        <v>83</v>
      </c>
      <c r="D49" s="17" t="str">
        <f>_xlfn.DISPIMG("ID_074ECDB8FF494486A25D9027ABD9DAB4",1)</f>
        <v>=DISPIMG("ID_074ECDB8FF494486A25D9027ABD9DAB4",1)</v>
      </c>
      <c r="E49" s="18"/>
      <c r="F49" s="19"/>
      <c r="G49" s="18">
        <v>19</v>
      </c>
      <c r="H49" s="22">
        <v>19</v>
      </c>
      <c r="I49" s="19">
        <v>21</v>
      </c>
    </row>
    <row r="50" ht="96" customHeight="1" spans="1:9">
      <c r="A50" s="1" t="s">
        <v>101</v>
      </c>
      <c r="B50" s="13"/>
      <c r="C50" s="13"/>
      <c r="D50" s="13"/>
      <c r="E50" s="13"/>
      <c r="F50" s="13"/>
      <c r="G50" s="14"/>
      <c r="H50" s="13"/>
      <c r="I50" s="13"/>
    </row>
    <row r="51" ht="100.15" customHeight="1" spans="1:9">
      <c r="A51" s="43" t="s">
        <v>102</v>
      </c>
      <c r="B51" s="44" t="s">
        <v>103</v>
      </c>
      <c r="C51" s="16" t="s">
        <v>87</v>
      </c>
      <c r="D51" s="45" t="str">
        <f>_xlfn.DISPIMG("ID_75A4643782E04424B2D7755D3913E012",1)</f>
        <v>=DISPIMG("ID_75A4643782E04424B2D7755D3913E012",1)</v>
      </c>
      <c r="E51" s="18">
        <v>54</v>
      </c>
      <c r="F51" s="46">
        <v>34.75</v>
      </c>
      <c r="G51" s="18">
        <v>38</v>
      </c>
      <c r="H51" s="47">
        <v>36.5</v>
      </c>
      <c r="I51" s="19">
        <v>37.5</v>
      </c>
    </row>
    <row r="52" ht="100.15" customHeight="1" spans="1:9">
      <c r="A52" s="43" t="s">
        <v>104</v>
      </c>
      <c r="B52" s="44" t="s">
        <v>105</v>
      </c>
      <c r="C52" s="16" t="s">
        <v>87</v>
      </c>
      <c r="D52" s="45" t="str">
        <f>_xlfn.DISPIMG("ID_1343AD7A2349455EBA521685CD73FC33",1)</f>
        <v>=DISPIMG("ID_1343AD7A2349455EBA521685CD73FC33",1)</v>
      </c>
      <c r="E52" s="18">
        <v>54</v>
      </c>
      <c r="F52" s="46">
        <v>35.25</v>
      </c>
      <c r="G52" s="18">
        <v>38</v>
      </c>
      <c r="H52" s="47">
        <v>36.5</v>
      </c>
      <c r="I52" s="19">
        <v>37.5</v>
      </c>
    </row>
    <row r="53" ht="100.15" customHeight="1" spans="1:9">
      <c r="A53" s="43" t="s">
        <v>106</v>
      </c>
      <c r="B53" s="44" t="s">
        <v>107</v>
      </c>
      <c r="C53" s="16" t="s">
        <v>87</v>
      </c>
      <c r="D53" s="45" t="str">
        <f>_xlfn.DISPIMG("ID_03CFA41BA7F946A1AC8BE4F021AE3E68",1)</f>
        <v>=DISPIMG("ID_03CFA41BA7F946A1AC8BE4F021AE3E68",1)</v>
      </c>
      <c r="E53" s="18">
        <v>60</v>
      </c>
      <c r="F53" s="46">
        <v>35</v>
      </c>
      <c r="G53" s="18">
        <v>38</v>
      </c>
      <c r="H53" s="47">
        <v>36</v>
      </c>
      <c r="I53" s="19">
        <v>38</v>
      </c>
    </row>
    <row r="54" ht="100.15" customHeight="1" spans="1:9">
      <c r="A54" s="43" t="s">
        <v>108</v>
      </c>
      <c r="B54" s="44" t="s">
        <v>109</v>
      </c>
      <c r="C54" s="16" t="s">
        <v>87</v>
      </c>
      <c r="D54" s="45" t="str">
        <f>_xlfn.DISPIMG("ID_23018A2B70274959A24158EE15CBB106",1)</f>
        <v>=DISPIMG("ID_23018A2B70274959A24158EE15CBB106",1)</v>
      </c>
      <c r="E54" s="18">
        <v>70</v>
      </c>
      <c r="F54" s="46">
        <v>43</v>
      </c>
      <c r="G54" s="18">
        <v>47</v>
      </c>
      <c r="H54" s="47">
        <v>46</v>
      </c>
      <c r="I54" s="19">
        <v>47</v>
      </c>
    </row>
    <row r="55" ht="100.15" customHeight="1" spans="1:9">
      <c r="A55" s="43" t="s">
        <v>110</v>
      </c>
      <c r="B55" s="44" t="s">
        <v>111</v>
      </c>
      <c r="C55" s="16" t="s">
        <v>87</v>
      </c>
      <c r="D55" s="45" t="str">
        <f>_xlfn.DISPIMG("ID_B83019FDC37F4D669DF7FC2E3D7113DC",1)</f>
        <v>=DISPIMG("ID_B83019FDC37F4D669DF7FC2E3D7113DC",1)</v>
      </c>
      <c r="E55" s="18"/>
      <c r="F55" s="46">
        <v>32</v>
      </c>
      <c r="G55" s="18">
        <v>36.5</v>
      </c>
      <c r="H55" s="47">
        <v>35</v>
      </c>
      <c r="I55" s="19">
        <v>37</v>
      </c>
    </row>
    <row r="56" ht="100.15" customHeight="1" spans="1:9">
      <c r="A56" s="43" t="s">
        <v>112</v>
      </c>
      <c r="B56" s="44" t="s">
        <v>113</v>
      </c>
      <c r="C56" s="16" t="s">
        <v>87</v>
      </c>
      <c r="D56" s="45" t="str">
        <f>_xlfn.DISPIMG("ID_2C3522CDE1C349969875A52451A71252",1)</f>
        <v>=DISPIMG("ID_2C3522CDE1C349969875A52451A71252",1)</v>
      </c>
      <c r="E56" s="18">
        <v>40</v>
      </c>
      <c r="F56" s="46" t="s">
        <v>114</v>
      </c>
      <c r="G56" s="18">
        <v>24</v>
      </c>
      <c r="H56" s="47">
        <v>22</v>
      </c>
      <c r="I56" s="19">
        <v>24</v>
      </c>
    </row>
    <row r="57" ht="100.15" customHeight="1" spans="1:9">
      <c r="A57" s="21" t="s">
        <v>115</v>
      </c>
      <c r="B57" s="41" t="s">
        <v>116</v>
      </c>
      <c r="C57" s="16" t="s">
        <v>87</v>
      </c>
      <c r="D57" s="42" t="str">
        <f>_xlfn.DISPIMG("ID_3DDA3145F3D740F8B3D5088265AA311E",1)</f>
        <v>=DISPIMG("ID_3DDA3145F3D740F8B3D5088265AA311E",1)</v>
      </c>
      <c r="E57" s="18"/>
      <c r="F57" s="19"/>
      <c r="G57" s="18">
        <v>10</v>
      </c>
      <c r="H57" s="22">
        <v>9</v>
      </c>
      <c r="I57" s="19">
        <v>11</v>
      </c>
    </row>
    <row r="58" ht="100.15" customHeight="1" spans="1:9">
      <c r="A58" s="21" t="s">
        <v>117</v>
      </c>
      <c r="B58" s="41" t="s">
        <v>118</v>
      </c>
      <c r="C58" s="16" t="s">
        <v>87</v>
      </c>
      <c r="D58" s="42" t="str">
        <f>_xlfn.DISPIMG("ID_7719B89E41F54E508C55D4F246715FD0",1)</f>
        <v>=DISPIMG("ID_7719B89E41F54E508C55D4F246715FD0",1)</v>
      </c>
      <c r="E58" s="18"/>
      <c r="F58" s="19"/>
      <c r="G58" s="18">
        <v>10</v>
      </c>
      <c r="H58" s="22">
        <v>9</v>
      </c>
      <c r="I58" s="19">
        <v>11</v>
      </c>
    </row>
    <row r="59" ht="100.15" customHeight="1" spans="1:9">
      <c r="A59" s="21" t="s">
        <v>119</v>
      </c>
      <c r="B59" s="41" t="s">
        <v>120</v>
      </c>
      <c r="C59" s="16" t="s">
        <v>87</v>
      </c>
      <c r="D59" s="42" t="str">
        <f>_xlfn.DISPIMG("ID_8F52C12089594254B82F370BF4882860",1)</f>
        <v>=DISPIMG("ID_8F52C12089594254B82F370BF4882860",1)</v>
      </c>
      <c r="E59" s="18"/>
      <c r="F59" s="19"/>
      <c r="G59" s="18">
        <v>10</v>
      </c>
      <c r="H59" s="22">
        <v>9</v>
      </c>
      <c r="I59" s="19">
        <v>11</v>
      </c>
    </row>
    <row r="60" ht="60" customHeight="1" spans="1:9">
      <c r="A60" s="21" t="s">
        <v>121</v>
      </c>
      <c r="B60" s="41" t="s">
        <v>122</v>
      </c>
      <c r="C60" s="16"/>
      <c r="D60" s="42" t="str">
        <f>_xlfn.DISPIMG("ID_2730CC1509C0423792C164557414D91E",1)</f>
        <v>=DISPIMG("ID_2730CC1509C0423792C164557414D91E",1)</v>
      </c>
      <c r="E60" s="18"/>
      <c r="F60" s="19"/>
      <c r="G60" s="18">
        <v>43</v>
      </c>
      <c r="H60" s="22">
        <v>39</v>
      </c>
      <c r="I60" s="19">
        <v>41</v>
      </c>
    </row>
    <row r="61" ht="60" customHeight="1" spans="1:9">
      <c r="A61" s="21" t="s">
        <v>123</v>
      </c>
      <c r="B61" s="41" t="s">
        <v>124</v>
      </c>
      <c r="C61" s="16"/>
      <c r="D61" s="42" t="str">
        <f>_xlfn.DISPIMG("ID_2E5DE3538D94461F96F8C84527A367AB",1)</f>
        <v>=DISPIMG("ID_2E5DE3538D94461F96F8C84527A367AB",1)</v>
      </c>
      <c r="E61" s="18"/>
      <c r="F61" s="19"/>
      <c r="G61" s="18">
        <v>51</v>
      </c>
      <c r="H61" s="22">
        <v>47</v>
      </c>
      <c r="I61" s="19">
        <v>49</v>
      </c>
    </row>
    <row r="62" ht="60" customHeight="1" spans="1:9">
      <c r="A62" s="21" t="s">
        <v>125</v>
      </c>
      <c r="B62" s="41" t="s">
        <v>126</v>
      </c>
      <c r="C62" s="16"/>
      <c r="D62" s="42" t="str">
        <f>_xlfn.DISPIMG("ID_640381AECAD54CC4B7ADC5D0ABD1B4F6",1)</f>
        <v>=DISPIMG("ID_640381AECAD54CC4B7ADC5D0ABD1B4F6",1)</v>
      </c>
      <c r="E62" s="18"/>
      <c r="F62" s="19"/>
      <c r="G62" s="18">
        <v>44</v>
      </c>
      <c r="H62" s="22">
        <v>40</v>
      </c>
      <c r="I62" s="19">
        <v>42</v>
      </c>
    </row>
    <row r="63" ht="60" customHeight="1" spans="1:9">
      <c r="A63" s="21" t="s">
        <v>127</v>
      </c>
      <c r="B63" s="41" t="s">
        <v>128</v>
      </c>
      <c r="C63" s="16"/>
      <c r="D63" s="42" t="str">
        <f>_xlfn.DISPIMG("ID_71BB6F75553442DCB7F6934D05D010E8",1)</f>
        <v>=DISPIMG("ID_71BB6F75553442DCB7F6934D05D010E8",1)</v>
      </c>
      <c r="E63" s="18"/>
      <c r="F63" s="19"/>
      <c r="G63" s="18">
        <v>28</v>
      </c>
      <c r="H63" s="22">
        <v>24</v>
      </c>
      <c r="I63" s="19">
        <v>26</v>
      </c>
    </row>
    <row r="64" ht="60" customHeight="1" spans="1:9">
      <c r="A64" s="21" t="s">
        <v>129</v>
      </c>
      <c r="B64" s="41" t="s">
        <v>130</v>
      </c>
      <c r="C64" s="16"/>
      <c r="D64" s="42" t="str">
        <f>_xlfn.DISPIMG("ID_4D3EB36C4E0147C6B9113DD85064ABB1",1)</f>
        <v>=DISPIMG("ID_4D3EB36C4E0147C6B9113DD85064ABB1",1)</v>
      </c>
      <c r="E64" s="18"/>
      <c r="F64" s="19"/>
      <c r="G64" s="18">
        <v>13</v>
      </c>
      <c r="H64" s="22">
        <v>9</v>
      </c>
      <c r="I64" s="19">
        <v>11</v>
      </c>
    </row>
    <row r="65" ht="60" customHeight="1" spans="1:9">
      <c r="A65" s="21" t="s">
        <v>131</v>
      </c>
      <c r="B65" s="41" t="s">
        <v>132</v>
      </c>
      <c r="C65" s="16"/>
      <c r="D65" s="42" t="str">
        <f>_xlfn.DISPIMG("ID_05ABFC29A1ED42718B9E4EBE91A2BFD0",1)</f>
        <v>=DISPIMG("ID_05ABFC29A1ED42718B9E4EBE91A2BFD0",1)</v>
      </c>
      <c r="E65" s="18"/>
      <c r="F65" s="19"/>
      <c r="G65" s="18">
        <v>48</v>
      </c>
      <c r="H65" s="22">
        <v>44</v>
      </c>
      <c r="I65" s="19">
        <v>46</v>
      </c>
    </row>
    <row r="66" ht="100.15" customHeight="1" spans="1:9">
      <c r="A66" s="1" t="s">
        <v>133</v>
      </c>
      <c r="B66" s="13"/>
      <c r="C66" s="13"/>
      <c r="D66" s="13"/>
      <c r="E66" s="13"/>
      <c r="F66" s="13"/>
      <c r="G66" s="14"/>
      <c r="H66" s="13"/>
      <c r="I66" s="13"/>
    </row>
    <row r="67" ht="100.15" customHeight="1" spans="1:9">
      <c r="A67" s="21" t="s">
        <v>134</v>
      </c>
      <c r="B67" s="41" t="s">
        <v>135</v>
      </c>
      <c r="C67" s="16" t="s">
        <v>87</v>
      </c>
      <c r="D67" s="42" t="str">
        <f>_xlfn.DISPIMG("ID_77952E0B121E46CC80DD2B78F5C2E2D6",1)</f>
        <v>=DISPIMG("ID_77952E0B121E46CC80DD2B78F5C2E2D6",1)</v>
      </c>
      <c r="E67" s="18">
        <v>54</v>
      </c>
      <c r="F67" s="19"/>
      <c r="G67" s="18">
        <v>30</v>
      </c>
      <c r="H67" s="22">
        <v>29</v>
      </c>
      <c r="I67" s="19">
        <v>30</v>
      </c>
    </row>
    <row r="68" ht="100.15" customHeight="1" spans="1:9">
      <c r="A68" s="21" t="s">
        <v>136</v>
      </c>
      <c r="B68" s="41" t="s">
        <v>137</v>
      </c>
      <c r="C68" s="16" t="s">
        <v>87</v>
      </c>
      <c r="D68" s="42" t="str">
        <f>_xlfn.DISPIMG("ID_3C9C5BC0C3EF47A3842A451CBFC5004A",1)</f>
        <v>=DISPIMG("ID_3C9C5BC0C3EF47A3842A451CBFC5004A",1)</v>
      </c>
      <c r="E68" s="18">
        <v>54</v>
      </c>
      <c r="F68" s="19"/>
      <c r="G68" s="18">
        <v>30</v>
      </c>
      <c r="H68" s="22">
        <v>29</v>
      </c>
      <c r="I68" s="19">
        <v>30</v>
      </c>
    </row>
    <row r="69" ht="100.15" customHeight="1" spans="1:9">
      <c r="A69" s="21" t="s">
        <v>138</v>
      </c>
      <c r="B69" s="41" t="s">
        <v>139</v>
      </c>
      <c r="C69" s="16" t="s">
        <v>87</v>
      </c>
      <c r="D69" s="42" t="str">
        <f>_xlfn.DISPIMG("ID_DE82D259A9654A29A4CF2811AD494528",1)</f>
        <v>=DISPIMG("ID_DE82D259A9654A29A4CF2811AD494528",1)</v>
      </c>
      <c r="E69" s="18">
        <v>54</v>
      </c>
      <c r="F69" s="19"/>
      <c r="G69" s="18">
        <v>30</v>
      </c>
      <c r="H69" s="22">
        <v>29</v>
      </c>
      <c r="I69" s="19">
        <v>30</v>
      </c>
    </row>
    <row r="70" ht="100.15" customHeight="1" spans="1:9">
      <c r="A70" s="21" t="s">
        <v>140</v>
      </c>
      <c r="B70" s="41" t="s">
        <v>141</v>
      </c>
      <c r="C70" s="16" t="s">
        <v>87</v>
      </c>
      <c r="D70" s="42" t="str">
        <f>_xlfn.DISPIMG("ID_618F579D2CEC4BCE863DACA13BB0DE8C",1)</f>
        <v>=DISPIMG("ID_618F579D2CEC4BCE863DACA13BB0DE8C",1)</v>
      </c>
      <c r="E70" s="18">
        <v>54</v>
      </c>
      <c r="F70" s="19"/>
      <c r="G70" s="18">
        <v>30</v>
      </c>
      <c r="H70" s="22">
        <v>29</v>
      </c>
      <c r="I70" s="19">
        <v>30</v>
      </c>
    </row>
    <row r="71" ht="100.15" customHeight="1" spans="1:9">
      <c r="A71" s="21" t="s">
        <v>142</v>
      </c>
      <c r="B71" s="41" t="s">
        <v>143</v>
      </c>
      <c r="C71" s="16" t="s">
        <v>87</v>
      </c>
      <c r="D71" s="42" t="str">
        <f>_xlfn.DISPIMG("ID_08EAC706E4B24DB2BE7729402E05EAD7",1)</f>
        <v>=DISPIMG("ID_08EAC706E4B24DB2BE7729402E05EAD7",1)</v>
      </c>
      <c r="E71" s="18">
        <v>54</v>
      </c>
      <c r="F71" s="19"/>
      <c r="G71" s="18">
        <v>30</v>
      </c>
      <c r="H71" s="22">
        <v>29</v>
      </c>
      <c r="I71" s="19">
        <v>30</v>
      </c>
    </row>
    <row r="72" ht="100.15" customHeight="1" spans="1:9">
      <c r="A72" s="21" t="s">
        <v>144</v>
      </c>
      <c r="B72" s="41" t="s">
        <v>145</v>
      </c>
      <c r="C72" s="16" t="s">
        <v>87</v>
      </c>
      <c r="D72" s="42" t="str">
        <f>_xlfn.DISPIMG("ID_6C34639DB0104FC89160D8E20E5625F2",1)</f>
        <v>=DISPIMG("ID_6C34639DB0104FC89160D8E20E5625F2",1)</v>
      </c>
      <c r="E72" s="18">
        <v>54</v>
      </c>
      <c r="F72" s="19"/>
      <c r="G72" s="18">
        <v>30</v>
      </c>
      <c r="H72" s="22">
        <v>29</v>
      </c>
      <c r="I72" s="19">
        <v>30</v>
      </c>
    </row>
    <row r="73" ht="100.15" customHeight="1" spans="1:9">
      <c r="A73" s="21" t="s">
        <v>146</v>
      </c>
      <c r="B73" s="41" t="s">
        <v>147</v>
      </c>
      <c r="C73" s="16" t="s">
        <v>87</v>
      </c>
      <c r="D73" s="42" t="str">
        <f>_xlfn.DISPIMG("ID_14C690EE4E934E05BC0F0A1C1A162128",1)</f>
        <v>=DISPIMG("ID_14C690EE4E934E05BC0F0A1C1A162128",1)</v>
      </c>
      <c r="E73" s="18">
        <v>54</v>
      </c>
      <c r="F73" s="19"/>
      <c r="G73" s="18">
        <v>30</v>
      </c>
      <c r="H73" s="22">
        <v>29</v>
      </c>
      <c r="I73" s="19">
        <v>30</v>
      </c>
    </row>
    <row r="74" ht="100.15" customHeight="1" spans="1:9">
      <c r="A74" s="21" t="s">
        <v>148</v>
      </c>
      <c r="B74" s="41" t="s">
        <v>149</v>
      </c>
      <c r="C74" s="16" t="s">
        <v>87</v>
      </c>
      <c r="D74" s="42" t="str">
        <f>_xlfn.DISPIMG("ID_007E5DA63388402A9641310CCFB8CE8E",1)</f>
        <v>=DISPIMG("ID_007E5DA63388402A9641310CCFB8CE8E",1)</v>
      </c>
      <c r="E74" s="18">
        <v>54</v>
      </c>
      <c r="F74" s="19"/>
      <c r="G74" s="18">
        <v>30</v>
      </c>
      <c r="H74" s="22">
        <v>29</v>
      </c>
      <c r="I74" s="19">
        <v>30</v>
      </c>
    </row>
    <row r="75" ht="100.15" customHeight="1" spans="1:9">
      <c r="A75" s="21" t="s">
        <v>150</v>
      </c>
      <c r="B75" s="41" t="s">
        <v>151</v>
      </c>
      <c r="C75" s="16" t="s">
        <v>87</v>
      </c>
      <c r="D75" s="42" t="str">
        <f>_xlfn.DISPIMG("ID_DE9A117E672D4BC6A6860386F3A52744",1)</f>
        <v>=DISPIMG("ID_DE9A117E672D4BC6A6860386F3A52744",1)</v>
      </c>
      <c r="E75" s="18"/>
      <c r="F75" s="19"/>
      <c r="G75" s="18">
        <v>34</v>
      </c>
      <c r="H75" s="22">
        <v>32</v>
      </c>
      <c r="I75" s="19">
        <v>34</v>
      </c>
    </row>
    <row r="76" ht="100.15" customHeight="1" spans="1:9">
      <c r="A76" s="21" t="s">
        <v>152</v>
      </c>
      <c r="B76" s="41" t="s">
        <v>153</v>
      </c>
      <c r="C76" s="16" t="s">
        <v>87</v>
      </c>
      <c r="D76" s="42" t="str">
        <f>_xlfn.DISPIMG("ID_64D922E9D3C84654A828B331C23C7F82",1)</f>
        <v>=DISPIMG("ID_64D922E9D3C84654A828B331C23C7F82",1)</v>
      </c>
      <c r="E76" s="18">
        <v>54</v>
      </c>
      <c r="F76" s="19">
        <v>26</v>
      </c>
      <c r="G76" s="18">
        <v>30</v>
      </c>
      <c r="H76" s="22">
        <v>29</v>
      </c>
      <c r="I76" s="19">
        <v>30</v>
      </c>
    </row>
    <row r="77" ht="100.15" customHeight="1" spans="1:9">
      <c r="A77" s="21" t="s">
        <v>154</v>
      </c>
      <c r="B77" s="41" t="s">
        <v>155</v>
      </c>
      <c r="C77" s="16" t="s">
        <v>87</v>
      </c>
      <c r="D77" s="42" t="str">
        <f>_xlfn.DISPIMG("ID_46F776591187441AB7F6A61CFAECC4AF",1)</f>
        <v>=DISPIMG("ID_46F776591187441AB7F6A61CFAECC4AF",1)</v>
      </c>
      <c r="E77" s="18">
        <v>90</v>
      </c>
      <c r="F77" s="19">
        <v>26</v>
      </c>
      <c r="G77" s="18">
        <v>30</v>
      </c>
      <c r="H77" s="22">
        <v>28</v>
      </c>
      <c r="I77" s="19">
        <v>30</v>
      </c>
    </row>
    <row r="78" ht="100.15" customHeight="1" spans="1:9">
      <c r="A78" s="21" t="s">
        <v>156</v>
      </c>
      <c r="B78" s="41" t="s">
        <v>157</v>
      </c>
      <c r="C78" s="16" t="s">
        <v>87</v>
      </c>
      <c r="D78" s="42" t="str">
        <f>_xlfn.DISPIMG("ID_1BAB8C2708CC4A408C739E9A6F57B4A5",1)</f>
        <v>=DISPIMG("ID_1BAB8C2708CC4A408C739E9A6F57B4A5",1)</v>
      </c>
      <c r="E78" s="18">
        <v>90</v>
      </c>
      <c r="F78" s="19">
        <v>25</v>
      </c>
      <c r="G78" s="18">
        <v>30</v>
      </c>
      <c r="H78" s="22">
        <v>28</v>
      </c>
      <c r="I78" s="19">
        <v>30</v>
      </c>
    </row>
    <row r="79" ht="100.15" customHeight="1" spans="1:9">
      <c r="A79" s="21" t="s">
        <v>158</v>
      </c>
      <c r="B79" s="41" t="s">
        <v>159</v>
      </c>
      <c r="C79" s="16" t="s">
        <v>87</v>
      </c>
      <c r="D79" s="42" t="str">
        <f>_xlfn.DISPIMG("ID_6E81BB266FF34D00AF9DC8EDDA9AD81E",1)</f>
        <v>=DISPIMG("ID_6E81BB266FF34D00AF9DC8EDDA9AD81E",1)</v>
      </c>
      <c r="E79" s="18">
        <v>90</v>
      </c>
      <c r="F79" s="19">
        <v>25</v>
      </c>
      <c r="G79" s="18">
        <v>30</v>
      </c>
      <c r="H79" s="22">
        <v>28</v>
      </c>
      <c r="I79" s="19">
        <v>30</v>
      </c>
    </row>
    <row r="80" ht="100.15" customHeight="1" spans="1:9">
      <c r="A80" s="21" t="s">
        <v>160</v>
      </c>
      <c r="B80" s="41" t="s">
        <v>161</v>
      </c>
      <c r="C80" s="16" t="s">
        <v>87</v>
      </c>
      <c r="D80" s="42" t="str">
        <f>_xlfn.DISPIMG("ID_6A1445DF26D242DC81C7376E1829AC0D",1)</f>
        <v>=DISPIMG("ID_6A1445DF26D242DC81C7376E1829AC0D",1)</v>
      </c>
      <c r="E80" s="18">
        <v>90</v>
      </c>
      <c r="F80" s="19">
        <v>25</v>
      </c>
      <c r="G80" s="18">
        <v>30</v>
      </c>
      <c r="H80" s="22">
        <v>28</v>
      </c>
      <c r="I80" s="19">
        <v>30</v>
      </c>
    </row>
    <row r="81" ht="100.15" customHeight="1" spans="1:9">
      <c r="A81" s="21" t="s">
        <v>162</v>
      </c>
      <c r="B81" s="48" t="s">
        <v>163</v>
      </c>
      <c r="C81" s="16" t="s">
        <v>87</v>
      </c>
      <c r="D81" s="42" t="str">
        <f>_xlfn.DISPIMG("ID_96516D1792F240EA937B4801250F8661",1)</f>
        <v>=DISPIMG("ID_96516D1792F240EA937B4801250F8661",1)</v>
      </c>
      <c r="E81" s="18">
        <v>90</v>
      </c>
      <c r="F81" s="19">
        <v>25</v>
      </c>
      <c r="G81" s="18">
        <v>30</v>
      </c>
      <c r="H81" s="22">
        <v>28</v>
      </c>
      <c r="I81" s="19">
        <v>30</v>
      </c>
    </row>
    <row r="82" ht="100.15" customHeight="1" spans="1:9">
      <c r="A82" s="21" t="s">
        <v>164</v>
      </c>
      <c r="B82" s="41" t="s">
        <v>165</v>
      </c>
      <c r="C82" s="16" t="s">
        <v>87</v>
      </c>
      <c r="D82" s="42" t="str">
        <f>_xlfn.DISPIMG("ID_7F2E820EE84445E6B0CE16B4203A3405",1)</f>
        <v>=DISPIMG("ID_7F2E820EE84445E6B0CE16B4203A3405",1)</v>
      </c>
      <c r="E82" s="18">
        <v>90</v>
      </c>
      <c r="F82" s="19">
        <v>24.5</v>
      </c>
      <c r="G82" s="18">
        <v>30</v>
      </c>
      <c r="H82" s="22">
        <v>27</v>
      </c>
      <c r="I82" s="19">
        <v>29</v>
      </c>
    </row>
    <row r="83" ht="60" customHeight="1" spans="1:9">
      <c r="A83" s="21" t="s">
        <v>166</v>
      </c>
      <c r="B83" s="41" t="s">
        <v>167</v>
      </c>
      <c r="C83" s="16"/>
      <c r="D83" s="42" t="str">
        <f>_xlfn.DISPIMG("ID_B9EF333394874BB2837F03F0F08A399E",1)</f>
        <v>=DISPIMG("ID_B9EF333394874BB2837F03F0F08A399E",1)</v>
      </c>
      <c r="E83" s="18"/>
      <c r="F83" s="19"/>
      <c r="G83" s="18">
        <v>26</v>
      </c>
      <c r="H83" s="22">
        <v>23</v>
      </c>
      <c r="I83" s="19">
        <v>25</v>
      </c>
    </row>
    <row r="84" ht="60" customHeight="1" spans="1:9">
      <c r="A84" s="21" t="s">
        <v>168</v>
      </c>
      <c r="B84" s="41" t="s">
        <v>169</v>
      </c>
      <c r="C84" s="16"/>
      <c r="D84" s="42" t="str">
        <f>_xlfn.DISPIMG("ID_C84B57F849B841C9A67327B74C06786B",1)</f>
        <v>=DISPIMG("ID_C84B57F849B841C9A67327B74C06786B",1)</v>
      </c>
      <c r="E84" s="18"/>
      <c r="F84" s="19"/>
      <c r="G84" s="18">
        <v>30</v>
      </c>
      <c r="H84" s="22">
        <v>27</v>
      </c>
      <c r="I84" s="19">
        <v>29</v>
      </c>
    </row>
    <row r="85" ht="100.15" customHeight="1" spans="1:9">
      <c r="A85" s="1" t="s">
        <v>170</v>
      </c>
      <c r="B85" s="13"/>
      <c r="C85" s="13"/>
      <c r="D85" s="13"/>
      <c r="E85" s="13"/>
      <c r="F85" s="13"/>
      <c r="G85" s="14"/>
      <c r="H85" s="13"/>
      <c r="I85" s="13"/>
    </row>
    <row r="86" ht="95" customHeight="1" spans="1:9">
      <c r="A86" s="23" t="s">
        <v>171</v>
      </c>
      <c r="B86" s="24" t="s">
        <v>172</v>
      </c>
      <c r="C86" s="25" t="s">
        <v>87</v>
      </c>
      <c r="D86" s="49" t="str">
        <f>_xlfn.DISPIMG("ID_7706A6A6AC72468CB5CD16F142E305E9",1)</f>
        <v>=DISPIMG("ID_7706A6A6AC72468CB5CD16F142E305E9",1)</v>
      </c>
      <c r="E86" s="27">
        <v>60</v>
      </c>
      <c r="F86" s="28">
        <v>30</v>
      </c>
      <c r="G86" s="18">
        <v>33</v>
      </c>
      <c r="H86" s="29">
        <v>31</v>
      </c>
      <c r="I86" s="19">
        <v>33</v>
      </c>
    </row>
    <row r="87" ht="95" customHeight="1" spans="1:9">
      <c r="A87" s="23" t="s">
        <v>173</v>
      </c>
      <c r="B87" s="24" t="s">
        <v>174</v>
      </c>
      <c r="C87" s="25" t="s">
        <v>87</v>
      </c>
      <c r="D87" s="49" t="str">
        <f>_xlfn.DISPIMG("ID_A8DB497E85854E9E9DB5111E7EF76BD1",1)</f>
        <v>=DISPIMG("ID_A8DB497E85854E9E9DB5111E7EF76BD1",1)</v>
      </c>
      <c r="E87" s="27">
        <v>60</v>
      </c>
      <c r="F87" s="28">
        <v>29</v>
      </c>
      <c r="G87" s="18">
        <v>33</v>
      </c>
      <c r="H87" s="29">
        <v>31</v>
      </c>
      <c r="I87" s="19">
        <v>33</v>
      </c>
    </row>
    <row r="88" ht="95" customHeight="1" spans="1:9">
      <c r="A88" s="23" t="s">
        <v>175</v>
      </c>
      <c r="B88" s="24" t="s">
        <v>176</v>
      </c>
      <c r="C88" s="25" t="s">
        <v>87</v>
      </c>
      <c r="D88" s="49" t="str">
        <f>_xlfn.DISPIMG("ID_25F07BB1D0E74D5398F4504B8BCD47D2",1)</f>
        <v>=DISPIMG("ID_25F07BB1D0E74D5398F4504B8BCD47D2",1)</v>
      </c>
      <c r="E88" s="27">
        <v>60</v>
      </c>
      <c r="F88" s="28">
        <v>30</v>
      </c>
      <c r="G88" s="18">
        <v>33</v>
      </c>
      <c r="H88" s="29">
        <v>31</v>
      </c>
      <c r="I88" s="19">
        <v>33</v>
      </c>
    </row>
    <row r="89" ht="95" customHeight="1" spans="1:9">
      <c r="A89" s="23" t="s">
        <v>177</v>
      </c>
      <c r="B89" s="24" t="s">
        <v>178</v>
      </c>
      <c r="C89" s="25" t="s">
        <v>87</v>
      </c>
      <c r="D89" s="49" t="str">
        <f>_xlfn.DISPIMG("ID_2E95FAB654AB4EDB8B2A32D5D5A233A9",1)</f>
        <v>=DISPIMG("ID_2E95FAB654AB4EDB8B2A32D5D5A233A9",1)</v>
      </c>
      <c r="E89" s="27">
        <v>60</v>
      </c>
      <c r="F89" s="28">
        <v>30</v>
      </c>
      <c r="G89" s="18">
        <v>33</v>
      </c>
      <c r="H89" s="29">
        <v>31</v>
      </c>
      <c r="I89" s="19">
        <v>33</v>
      </c>
    </row>
    <row r="90" ht="60" customHeight="1" spans="1:9">
      <c r="A90" s="21" t="s">
        <v>179</v>
      </c>
      <c r="B90" s="41" t="s">
        <v>180</v>
      </c>
      <c r="C90" s="16"/>
      <c r="D90" s="42" t="str">
        <f>_xlfn.DISPIMG("ID_3877F4FB62BA4175BF694C7A2CFCEE20",1)</f>
        <v>=DISPIMG("ID_3877F4FB62BA4175BF694C7A2CFCEE20",1)</v>
      </c>
      <c r="E90" s="18"/>
      <c r="F90" s="19"/>
      <c r="G90" s="18">
        <v>36</v>
      </c>
      <c r="H90" s="22">
        <v>32</v>
      </c>
      <c r="I90" s="19">
        <v>34</v>
      </c>
    </row>
    <row r="91" ht="60" customHeight="1" spans="1:9">
      <c r="A91" s="21" t="s">
        <v>181</v>
      </c>
      <c r="B91" s="41" t="s">
        <v>182</v>
      </c>
      <c r="C91" s="16"/>
      <c r="D91" s="42" t="str">
        <f>_xlfn.DISPIMG("ID_CB05F414EF174C50885614B501B49DE5",1)</f>
        <v>=DISPIMG("ID_CB05F414EF174C50885614B501B49DE5",1)</v>
      </c>
      <c r="E91" s="18"/>
      <c r="F91" s="19"/>
      <c r="G91" s="18">
        <v>36</v>
      </c>
      <c r="H91" s="22">
        <v>32</v>
      </c>
      <c r="I91" s="19">
        <v>34</v>
      </c>
    </row>
    <row r="92" ht="60" customHeight="1" spans="1:9">
      <c r="A92" s="21" t="s">
        <v>183</v>
      </c>
      <c r="B92" s="41" t="s">
        <v>184</v>
      </c>
      <c r="C92" s="16"/>
      <c r="D92" s="42" t="str">
        <f>_xlfn.DISPIMG("ID_7321680A71AF4100990507D3A1B588B9",1)</f>
        <v>=DISPIMG("ID_7321680A71AF4100990507D3A1B588B9",1)</v>
      </c>
      <c r="E92" s="18"/>
      <c r="F92" s="19"/>
      <c r="G92" s="18">
        <v>36</v>
      </c>
      <c r="H92" s="22">
        <v>32</v>
      </c>
      <c r="I92" s="19">
        <v>34</v>
      </c>
    </row>
    <row r="93" ht="60" customHeight="1" spans="1:9">
      <c r="A93" s="21" t="s">
        <v>185</v>
      </c>
      <c r="B93" s="41" t="s">
        <v>186</v>
      </c>
      <c r="C93" s="16"/>
      <c r="D93" s="42" t="str">
        <f>_xlfn.DISPIMG("ID_2092AD14AF3D41A19C92B3A0DE6FBF66",1)</f>
        <v>=DISPIMG("ID_2092AD14AF3D41A19C92B3A0DE6FBF66",1)</v>
      </c>
      <c r="E93" s="18"/>
      <c r="F93" s="19"/>
      <c r="G93" s="18">
        <v>32</v>
      </c>
      <c r="H93" s="22">
        <v>28</v>
      </c>
      <c r="I93" s="19">
        <v>30</v>
      </c>
    </row>
    <row r="94" ht="60" customHeight="1" spans="1:9">
      <c r="A94" s="21" t="s">
        <v>187</v>
      </c>
      <c r="B94" s="41" t="s">
        <v>188</v>
      </c>
      <c r="C94" s="16"/>
      <c r="D94" s="42" t="str">
        <f>_xlfn.DISPIMG("ID_85B3CA731DC143ECBC0DCE343A1CD63C",1)</f>
        <v>=DISPIMG("ID_85B3CA731DC143ECBC0DCE343A1CD63C",1)</v>
      </c>
      <c r="E94" s="18"/>
      <c r="F94" s="19"/>
      <c r="G94" s="18">
        <v>49</v>
      </c>
      <c r="H94" s="22">
        <v>45</v>
      </c>
      <c r="I94" s="19">
        <v>47</v>
      </c>
    </row>
    <row r="95" ht="60" customHeight="1" spans="1:9">
      <c r="A95" s="21" t="s">
        <v>189</v>
      </c>
      <c r="B95" s="41" t="s">
        <v>190</v>
      </c>
      <c r="C95" s="16"/>
      <c r="D95" s="42" t="str">
        <f>_xlfn.DISPIMG("ID_5071B1804E6E475791D1D6E27EBD1C91",1)</f>
        <v>=DISPIMG("ID_5071B1804E6E475791D1D6E27EBD1C91",1)</v>
      </c>
      <c r="E95" s="18"/>
      <c r="F95" s="19"/>
      <c r="G95" s="18">
        <v>36</v>
      </c>
      <c r="H95" s="22">
        <v>32</v>
      </c>
      <c r="I95" s="19">
        <v>34</v>
      </c>
    </row>
    <row r="96" ht="60" customHeight="1" spans="1:9">
      <c r="A96" s="21" t="s">
        <v>191</v>
      </c>
      <c r="B96" s="41" t="s">
        <v>192</v>
      </c>
      <c r="C96" s="16"/>
      <c r="D96" s="42" t="str">
        <f>_xlfn.DISPIMG("ID_7ABD32B3E12B40909C92E39F72EF01FA",1)</f>
        <v>=DISPIMG("ID_7ABD32B3E12B40909C92E39F72EF01FA",1)</v>
      </c>
      <c r="E96" s="18"/>
      <c r="F96" s="19"/>
      <c r="G96" s="18">
        <v>32</v>
      </c>
      <c r="H96" s="22">
        <v>28</v>
      </c>
      <c r="I96" s="19">
        <v>30</v>
      </c>
    </row>
    <row r="97" ht="60" customHeight="1" spans="1:9">
      <c r="A97" s="21" t="s">
        <v>193</v>
      </c>
      <c r="B97" s="41" t="s">
        <v>194</v>
      </c>
      <c r="C97" s="16"/>
      <c r="D97" s="42" t="str">
        <f>_xlfn.DISPIMG("ID_95737BCC6D734969965A1F66B7D23200",1)</f>
        <v>=DISPIMG("ID_95737BCC6D734969965A1F66B7D23200",1)</v>
      </c>
      <c r="E97" s="18"/>
      <c r="F97" s="19"/>
      <c r="G97" s="18">
        <v>36</v>
      </c>
      <c r="H97" s="22">
        <v>32</v>
      </c>
      <c r="I97" s="19">
        <v>34</v>
      </c>
    </row>
    <row r="98" ht="100.15" customHeight="1" spans="1:9">
      <c r="A98" s="1" t="s">
        <v>195</v>
      </c>
      <c r="B98" s="13"/>
      <c r="C98" s="13"/>
      <c r="D98" s="13"/>
      <c r="E98" s="13"/>
      <c r="F98" s="13"/>
      <c r="G98" s="14"/>
      <c r="H98" s="13"/>
      <c r="I98" s="13"/>
    </row>
    <row r="99" ht="100.15" customHeight="1" spans="1:9">
      <c r="A99" s="21" t="s">
        <v>196</v>
      </c>
      <c r="B99" s="41" t="s">
        <v>197</v>
      </c>
      <c r="C99" s="16" t="s">
        <v>87</v>
      </c>
      <c r="D99" s="42" t="str">
        <f>_xlfn.DISPIMG("ID_17CA9994F0E64DA8BA6C86719A222B9D",1)</f>
        <v>=DISPIMG("ID_17CA9994F0E64DA8BA6C86719A222B9D",1)</v>
      </c>
      <c r="E99" s="18"/>
      <c r="F99" s="19">
        <v>25</v>
      </c>
      <c r="G99" s="50">
        <v>34</v>
      </c>
      <c r="H99" s="22">
        <v>28</v>
      </c>
      <c r="I99" s="19">
        <v>30</v>
      </c>
    </row>
    <row r="100" ht="99.95" customHeight="1" spans="1:9">
      <c r="A100" s="21" t="s">
        <v>198</v>
      </c>
      <c r="B100" s="41" t="s">
        <v>199</v>
      </c>
      <c r="C100" s="16" t="s">
        <v>87</v>
      </c>
      <c r="D100" s="51" t="str">
        <f>_xlfn.DISPIMG("ID_43B7485A15D74D2A8D57BD9123E4DE36",1)</f>
        <v>=DISPIMG("ID_43B7485A15D74D2A8D57BD9123E4DE36",1)</v>
      </c>
      <c r="E100" s="18"/>
      <c r="F100" s="19">
        <v>28</v>
      </c>
      <c r="G100" s="50">
        <v>33</v>
      </c>
      <c r="H100" s="22">
        <v>31</v>
      </c>
      <c r="I100" s="19">
        <v>33</v>
      </c>
    </row>
    <row r="101" ht="99.95" customHeight="1" spans="1:9">
      <c r="A101" s="21" t="s">
        <v>200</v>
      </c>
      <c r="B101" s="41" t="s">
        <v>201</v>
      </c>
      <c r="C101" s="16" t="s">
        <v>87</v>
      </c>
      <c r="D101" s="17" t="str">
        <f>_xlfn.DISPIMG("ID_7DC7A13015094738A233FA1F654F293E",1)</f>
        <v>=DISPIMG("ID_7DC7A13015094738A233FA1F654F293E",1)</v>
      </c>
      <c r="E101" s="18"/>
      <c r="F101" s="19"/>
      <c r="G101" s="50">
        <v>28</v>
      </c>
      <c r="H101" s="22">
        <v>30</v>
      </c>
      <c r="I101" s="19">
        <v>32</v>
      </c>
    </row>
    <row r="102" ht="95" customHeight="1" spans="1:9">
      <c r="A102" s="21" t="s">
        <v>202</v>
      </c>
      <c r="B102" s="41" t="s">
        <v>203</v>
      </c>
      <c r="C102" s="16" t="s">
        <v>87</v>
      </c>
      <c r="D102" s="17" t="str">
        <f>_xlfn.DISPIMG("ID_F1BC86B4347E4E3299F2D9A5D715E901",1)</f>
        <v>=DISPIMG("ID_F1BC86B4347E4E3299F2D9A5D715E901",1)</v>
      </c>
      <c r="E102" s="18">
        <v>120</v>
      </c>
      <c r="F102" s="19">
        <v>25</v>
      </c>
      <c r="G102" s="50">
        <v>28</v>
      </c>
      <c r="H102" s="22">
        <v>26</v>
      </c>
      <c r="I102" s="19">
        <v>28</v>
      </c>
    </row>
    <row r="103" ht="95" customHeight="1" spans="1:9">
      <c r="A103" s="21" t="s">
        <v>204</v>
      </c>
      <c r="B103" s="15" t="s">
        <v>205</v>
      </c>
      <c r="C103" s="16" t="s">
        <v>87</v>
      </c>
      <c r="D103" s="17" t="str">
        <f>_xlfn.DISPIMG("ID_899CC11935E642088F4222323695989D",1)</f>
        <v>=DISPIMG("ID_899CC11935E642088F4222323695989D",1)</v>
      </c>
      <c r="E103" s="18">
        <v>60</v>
      </c>
      <c r="F103" s="19">
        <v>25</v>
      </c>
      <c r="G103" s="50">
        <v>28</v>
      </c>
      <c r="H103" s="22">
        <v>26</v>
      </c>
      <c r="I103" s="19">
        <v>28</v>
      </c>
    </row>
    <row r="104" ht="95" customHeight="1" spans="1:9">
      <c r="A104" s="21" t="s">
        <v>206</v>
      </c>
      <c r="B104" s="15" t="s">
        <v>207</v>
      </c>
      <c r="C104" s="16" t="s">
        <v>87</v>
      </c>
      <c r="D104" s="51" t="str">
        <f>_xlfn.DISPIMG("ID_D5DBD5FC86C748FEAA00E28DD4D01CC6",1)</f>
        <v>=DISPIMG("ID_D5DBD5FC86C748FEAA00E28DD4D01CC6",1)</v>
      </c>
      <c r="E104" s="18">
        <v>120</v>
      </c>
      <c r="F104" s="19">
        <v>28</v>
      </c>
      <c r="G104" s="50">
        <v>35</v>
      </c>
      <c r="H104" s="22">
        <v>33</v>
      </c>
      <c r="I104" s="19">
        <v>35</v>
      </c>
    </row>
    <row r="105" ht="95" customHeight="1" spans="1:9">
      <c r="A105" s="21" t="s">
        <v>208</v>
      </c>
      <c r="B105" s="41" t="s">
        <v>209</v>
      </c>
      <c r="C105" s="16" t="s">
        <v>87</v>
      </c>
      <c r="D105" s="17" t="str">
        <f>_xlfn.DISPIMG("ID_832DBA5C7FD747049272FC1FC76320AD",1)</f>
        <v>=DISPIMG("ID_832DBA5C7FD747049272FC1FC76320AD",1)</v>
      </c>
      <c r="E105" s="18">
        <v>120</v>
      </c>
      <c r="F105" s="19">
        <v>21.5</v>
      </c>
      <c r="G105" s="50">
        <v>26</v>
      </c>
      <c r="H105" s="22">
        <v>23.5</v>
      </c>
      <c r="I105" s="19">
        <v>25.5</v>
      </c>
    </row>
    <row r="106" ht="95" customHeight="1" spans="1:9">
      <c r="A106" s="21" t="s">
        <v>210</v>
      </c>
      <c r="B106" s="41" t="s">
        <v>211</v>
      </c>
      <c r="C106" s="16" t="s">
        <v>87</v>
      </c>
      <c r="D106" s="17" t="str">
        <f>_xlfn.DISPIMG("ID_48147609F64545FD8683DDE81B405B0B",1)</f>
        <v>=DISPIMG("ID_48147609F64545FD8683DDE81B405B0B",1)</v>
      </c>
      <c r="E106" s="18">
        <v>60</v>
      </c>
      <c r="F106" s="19">
        <v>25</v>
      </c>
      <c r="G106" s="50">
        <v>29</v>
      </c>
      <c r="H106" s="22">
        <v>27</v>
      </c>
      <c r="I106" s="19">
        <v>29</v>
      </c>
    </row>
    <row r="107" ht="60" customHeight="1" spans="1:9">
      <c r="A107" s="21" t="s">
        <v>212</v>
      </c>
      <c r="B107" s="41" t="s">
        <v>213</v>
      </c>
      <c r="C107" s="16"/>
      <c r="D107" s="42" t="str">
        <f>_xlfn.DISPIMG("ID_55BDDF2B34DD46B1A240A02CC0AEA405",1)</f>
        <v>=DISPIMG("ID_55BDDF2B34DD46B1A240A02CC0AEA405",1)</v>
      </c>
      <c r="E107" s="18"/>
      <c r="F107" s="19"/>
      <c r="G107" s="18">
        <v>22</v>
      </c>
      <c r="H107" s="22">
        <v>18</v>
      </c>
      <c r="I107" s="19">
        <v>20</v>
      </c>
    </row>
    <row r="108" ht="60" customHeight="1" spans="1:9">
      <c r="A108" s="21" t="s">
        <v>214</v>
      </c>
      <c r="B108" s="41" t="s">
        <v>215</v>
      </c>
      <c r="C108" s="16"/>
      <c r="D108" s="42" t="str">
        <f>_xlfn.DISPIMG("ID_023B5ADB85A44AAF891C723265108305",1)</f>
        <v>=DISPIMG("ID_023B5ADB85A44AAF891C723265108305",1)</v>
      </c>
      <c r="E108" s="18"/>
      <c r="F108" s="19"/>
      <c r="G108" s="18">
        <v>21</v>
      </c>
      <c r="H108" s="22">
        <v>17.5</v>
      </c>
      <c r="I108" s="19">
        <v>19</v>
      </c>
    </row>
    <row r="109" ht="60" customHeight="1" spans="1:9">
      <c r="A109" s="21" t="s">
        <v>216</v>
      </c>
      <c r="B109" s="41" t="s">
        <v>217</v>
      </c>
      <c r="C109" s="16"/>
      <c r="D109" s="42" t="str">
        <f>_xlfn.DISPIMG("ID_87B5C6A7531C48A094D94C96B341BCC1",1)</f>
        <v>=DISPIMG("ID_87B5C6A7531C48A094D94C96B341BCC1",1)</v>
      </c>
      <c r="E109" s="18"/>
      <c r="F109" s="19"/>
      <c r="G109" s="18">
        <v>34</v>
      </c>
      <c r="H109" s="22">
        <v>30</v>
      </c>
      <c r="I109" s="19">
        <v>32</v>
      </c>
    </row>
    <row r="110" ht="60" customHeight="1" spans="1:9">
      <c r="A110" s="21" t="s">
        <v>218</v>
      </c>
      <c r="B110" s="41" t="s">
        <v>219</v>
      </c>
      <c r="C110" s="16"/>
      <c r="D110" s="42" t="str">
        <f>_xlfn.DISPIMG("ID_4556D5F18FF14570BEF3192F281006E4",1)</f>
        <v>=DISPIMG("ID_4556D5F18FF14570BEF3192F281006E4",1)</v>
      </c>
      <c r="E110" s="18"/>
      <c r="F110" s="19"/>
      <c r="G110" s="18">
        <v>33</v>
      </c>
      <c r="H110" s="22">
        <v>29</v>
      </c>
      <c r="I110" s="19">
        <v>31</v>
      </c>
    </row>
    <row r="111" ht="60" customHeight="1" spans="1:9">
      <c r="A111" s="21" t="s">
        <v>220</v>
      </c>
      <c r="B111" s="41" t="s">
        <v>221</v>
      </c>
      <c r="C111" s="16"/>
      <c r="D111" s="42" t="str">
        <f>_xlfn.DISPIMG("ID_2E6BF9FD48564FE1B687B33B66C50B78",1)</f>
        <v>=DISPIMG("ID_2E6BF9FD48564FE1B687B33B66C50B78",1)</v>
      </c>
      <c r="E111" s="18"/>
      <c r="F111" s="19"/>
      <c r="G111" s="18">
        <v>24</v>
      </c>
      <c r="H111" s="22">
        <v>20</v>
      </c>
      <c r="I111" s="19">
        <v>22</v>
      </c>
    </row>
    <row r="112" ht="60" customHeight="1" spans="1:9">
      <c r="A112" s="21" t="s">
        <v>222</v>
      </c>
      <c r="B112" s="41" t="s">
        <v>223</v>
      </c>
      <c r="C112" s="16"/>
      <c r="D112" s="42" t="str">
        <f>_xlfn.DISPIMG("ID_CB42186E88AC4297B0994D2A9F95EF79",1)</f>
        <v>=DISPIMG("ID_CB42186E88AC4297B0994D2A9F95EF79",1)</v>
      </c>
      <c r="E112" s="18"/>
      <c r="F112" s="19"/>
      <c r="G112" s="18">
        <v>34</v>
      </c>
      <c r="H112" s="22">
        <v>30</v>
      </c>
      <c r="I112" s="19">
        <v>32</v>
      </c>
    </row>
    <row r="113" ht="60" customHeight="1" spans="1:9">
      <c r="A113" s="21" t="s">
        <v>224</v>
      </c>
      <c r="B113" s="41" t="s">
        <v>225</v>
      </c>
      <c r="C113" s="16"/>
      <c r="D113" s="42" t="str">
        <f>_xlfn.DISPIMG("ID_6F727E119CFF4FEA8FD84077E2AAF6A0",1)</f>
        <v>=DISPIMG("ID_6F727E119CFF4FEA8FD84077E2AAF6A0",1)</v>
      </c>
      <c r="E113" s="18"/>
      <c r="F113" s="19"/>
      <c r="G113" s="18">
        <v>23</v>
      </c>
      <c r="H113" s="22">
        <v>19</v>
      </c>
      <c r="I113" s="19">
        <v>21</v>
      </c>
    </row>
    <row r="114" ht="60" customHeight="1" spans="1:9">
      <c r="A114" s="21" t="s">
        <v>226</v>
      </c>
      <c r="B114" s="41" t="s">
        <v>227</v>
      </c>
      <c r="C114" s="16"/>
      <c r="D114" s="42" t="str">
        <f>_xlfn.DISPIMG("ID_C08A4AE210E646678FC733467102BB21",1)</f>
        <v>=DISPIMG("ID_C08A4AE210E646678FC733467102BB21",1)</v>
      </c>
      <c r="E114" s="18"/>
      <c r="F114" s="19"/>
      <c r="G114" s="18">
        <v>27</v>
      </c>
      <c r="H114" s="22">
        <v>23</v>
      </c>
      <c r="I114" s="19">
        <v>25</v>
      </c>
    </row>
    <row r="115" ht="60" customHeight="1" spans="1:9">
      <c r="A115" s="21" t="s">
        <v>228</v>
      </c>
      <c r="B115" s="41" t="s">
        <v>229</v>
      </c>
      <c r="C115" s="16"/>
      <c r="D115" s="42" t="str">
        <f>_xlfn.DISPIMG("ID_5961C42AA39E4D4C8F639A59A00A79ED",1)</f>
        <v>=DISPIMG("ID_5961C42AA39E4D4C8F639A59A00A79ED",1)</v>
      </c>
      <c r="E115" s="18"/>
      <c r="F115" s="19"/>
      <c r="G115" s="18">
        <v>32</v>
      </c>
      <c r="H115" s="22">
        <v>28</v>
      </c>
      <c r="I115" s="19">
        <v>30</v>
      </c>
    </row>
    <row r="116" ht="60" customHeight="1" spans="1:9">
      <c r="A116" s="21" t="s">
        <v>230</v>
      </c>
      <c r="B116" s="41" t="s">
        <v>231</v>
      </c>
      <c r="C116" s="16"/>
      <c r="D116" s="42" t="str">
        <f>_xlfn.DISPIMG("ID_B42EAA7C54E0465BB98EEDF285CFDAA9",1)</f>
        <v>=DISPIMG("ID_B42EAA7C54E0465BB98EEDF285CFDAA9",1)</v>
      </c>
      <c r="E116" s="18"/>
      <c r="F116" s="19"/>
      <c r="G116" s="18">
        <v>32</v>
      </c>
      <c r="H116" s="22">
        <v>28</v>
      </c>
      <c r="I116" s="19">
        <v>30</v>
      </c>
    </row>
    <row r="117" ht="60" customHeight="1" spans="1:9">
      <c r="A117" s="21" t="s">
        <v>232</v>
      </c>
      <c r="B117" s="41" t="s">
        <v>233</v>
      </c>
      <c r="C117" s="16"/>
      <c r="D117" s="42" t="str">
        <f>_xlfn.DISPIMG("ID_BDEC34221A6F4232B827B7CBB8690B8D",1)</f>
        <v>=DISPIMG("ID_BDEC34221A6F4232B827B7CBB8690B8D",1)</v>
      </c>
      <c r="E117" s="18"/>
      <c r="F117" s="19"/>
      <c r="G117" s="18">
        <v>31</v>
      </c>
      <c r="H117" s="22">
        <v>27</v>
      </c>
      <c r="I117" s="19">
        <v>29</v>
      </c>
    </row>
    <row r="118" customFormat="1" ht="95" customHeight="1" spans="1:9">
      <c r="A118" s="1" t="s">
        <v>234</v>
      </c>
      <c r="B118" s="13"/>
      <c r="C118" s="13"/>
      <c r="D118" s="13"/>
      <c r="E118" s="13"/>
      <c r="F118" s="13"/>
      <c r="G118" s="14"/>
      <c r="H118" s="13"/>
      <c r="I118" s="13"/>
    </row>
    <row r="119" customFormat="1" ht="95" customHeight="1" spans="1:9">
      <c r="A119" s="21" t="s">
        <v>235</v>
      </c>
      <c r="B119" s="52" t="s">
        <v>236</v>
      </c>
      <c r="C119" s="16" t="s">
        <v>87</v>
      </c>
      <c r="D119" s="21" t="str">
        <f>_xlfn.DISPIMG("ID_B62B0CA6C0074D9E98E922A48517800A",1)</f>
        <v>=DISPIMG("ID_B62B0CA6C0074D9E98E922A48517800A",1)</v>
      </c>
      <c r="E119" s="18">
        <v>160</v>
      </c>
      <c r="F119" s="19">
        <v>23</v>
      </c>
      <c r="G119" s="18"/>
      <c r="H119" s="19">
        <v>29</v>
      </c>
      <c r="I119" s="19">
        <v>31</v>
      </c>
    </row>
    <row r="120" customFormat="1" ht="95" customHeight="1" spans="1:9">
      <c r="A120" s="1" t="s">
        <v>237</v>
      </c>
      <c r="B120" s="13"/>
      <c r="C120" s="13"/>
      <c r="D120" s="13"/>
      <c r="E120" s="13"/>
      <c r="F120" s="13"/>
      <c r="G120" s="14"/>
      <c r="H120" s="13"/>
      <c r="I120" s="13"/>
    </row>
    <row r="121" customFormat="1" ht="100.15" customHeight="1" spans="1:9">
      <c r="A121" s="21" t="s">
        <v>238</v>
      </c>
      <c r="B121" s="41" t="s">
        <v>239</v>
      </c>
      <c r="C121" s="16" t="s">
        <v>87</v>
      </c>
      <c r="D121" s="53" t="str">
        <f>_xlfn.DISPIMG("ID_DAB2F97F77D74F46AC3C7DDEDA8111B5",1)</f>
        <v>=DISPIMG("ID_DAB2F97F77D74F46AC3C7DDEDA8111B5",1)</v>
      </c>
      <c r="E121" s="18">
        <v>40</v>
      </c>
      <c r="F121" s="19">
        <v>21</v>
      </c>
      <c r="G121" s="50">
        <v>26</v>
      </c>
      <c r="H121" s="22">
        <v>24</v>
      </c>
      <c r="I121" s="19">
        <v>26</v>
      </c>
    </row>
    <row r="122" customFormat="1" ht="100.15" customHeight="1" spans="1:9">
      <c r="A122" s="21" t="s">
        <v>240</v>
      </c>
      <c r="B122" s="41" t="s">
        <v>241</v>
      </c>
      <c r="C122" s="16" t="s">
        <v>87</v>
      </c>
      <c r="D122" s="42" t="str">
        <f>_xlfn.DISPIMG("ID_EA5B7BD8D8804DE99D4A212D4D28C3BE",1)</f>
        <v>=DISPIMG("ID_EA5B7BD8D8804DE99D4A212D4D28C3BE",1)</v>
      </c>
      <c r="E122" s="18">
        <v>50</v>
      </c>
      <c r="F122" s="19">
        <v>28</v>
      </c>
      <c r="G122" s="50">
        <v>32</v>
      </c>
      <c r="H122" s="22">
        <v>30</v>
      </c>
      <c r="I122" s="19">
        <v>32</v>
      </c>
    </row>
    <row r="123" customFormat="1" ht="100.15" customHeight="1" spans="1:9">
      <c r="A123" s="21" t="s">
        <v>242</v>
      </c>
      <c r="B123" s="41" t="s">
        <v>243</v>
      </c>
      <c r="C123" s="16" t="s">
        <v>87</v>
      </c>
      <c r="D123" s="42" t="str">
        <f>_xlfn.DISPIMG("ID_26DBE36507054E10843293564BAD348A",1)</f>
        <v>=DISPIMG("ID_26DBE36507054E10843293564BAD348A",1)</v>
      </c>
      <c r="E123" s="18">
        <v>80</v>
      </c>
      <c r="F123" s="19">
        <v>25</v>
      </c>
      <c r="G123" s="50">
        <v>30</v>
      </c>
      <c r="H123" s="22">
        <v>27</v>
      </c>
      <c r="I123" s="19">
        <v>29</v>
      </c>
    </row>
    <row r="124" ht="100.15" customHeight="1" spans="1:9">
      <c r="A124" s="21" t="s">
        <v>244</v>
      </c>
      <c r="B124" s="41" t="s">
        <v>245</v>
      </c>
      <c r="C124" s="16" t="s">
        <v>87</v>
      </c>
      <c r="D124" s="42" t="str">
        <f>_xlfn.DISPIMG("ID_B09D50BA172041AF96778923ADB8925E",1)</f>
        <v>=DISPIMG("ID_B09D50BA172041AF96778923ADB8925E",1)</v>
      </c>
      <c r="E124" s="18">
        <v>80</v>
      </c>
      <c r="F124" s="19"/>
      <c r="G124" s="50">
        <v>31</v>
      </c>
      <c r="H124" s="22">
        <v>29.5</v>
      </c>
      <c r="I124" s="19">
        <v>31.5</v>
      </c>
    </row>
    <row r="125" ht="100.15" customHeight="1" spans="1:9">
      <c r="A125" s="21" t="s">
        <v>246</v>
      </c>
      <c r="B125" s="41" t="s">
        <v>247</v>
      </c>
      <c r="C125" s="16" t="s">
        <v>87</v>
      </c>
      <c r="D125" s="42" t="str">
        <f>_xlfn.DISPIMG("ID_CE6EACE3BF024CFE82AEC7FFA39B1E6A",1)</f>
        <v>=DISPIMG("ID_CE6EACE3BF024CFE82AEC7FFA39B1E6A",1)</v>
      </c>
      <c r="E125" s="18">
        <v>120</v>
      </c>
      <c r="F125" s="19">
        <v>26</v>
      </c>
      <c r="G125" s="50">
        <v>30</v>
      </c>
      <c r="H125" s="22">
        <v>29.25</v>
      </c>
      <c r="I125" s="19">
        <v>31.25</v>
      </c>
    </row>
    <row r="126" ht="100.15" customHeight="1" spans="1:9">
      <c r="A126" s="21" t="s">
        <v>248</v>
      </c>
      <c r="B126" s="41" t="s">
        <v>249</v>
      </c>
      <c r="C126" s="16" t="s">
        <v>87</v>
      </c>
      <c r="D126" s="42" t="str">
        <f>_xlfn.DISPIMG("ID_590EDC901FBD4A8A89304EAB48CD3968",1)</f>
        <v>=DISPIMG("ID_590EDC901FBD4A8A89304EAB48CD3968",1)</v>
      </c>
      <c r="E126" s="18">
        <v>52</v>
      </c>
      <c r="F126" s="19"/>
      <c r="G126" s="50">
        <v>35</v>
      </c>
      <c r="H126" s="22">
        <v>32</v>
      </c>
      <c r="I126" s="19">
        <v>34</v>
      </c>
    </row>
    <row r="127" ht="100.15" customHeight="1" spans="1:9">
      <c r="A127" s="21" t="s">
        <v>250</v>
      </c>
      <c r="B127" s="41" t="s">
        <v>251</v>
      </c>
      <c r="C127" s="16" t="s">
        <v>87</v>
      </c>
      <c r="D127" s="42" t="str">
        <f>_xlfn.DISPIMG("ID_E3799395FDC940118FA3776EB07DA017",1)</f>
        <v>=DISPIMG("ID_E3799395FDC940118FA3776EB07DA017",1)</v>
      </c>
      <c r="E127" s="18">
        <v>50</v>
      </c>
      <c r="F127" s="19">
        <v>24</v>
      </c>
      <c r="G127" s="50">
        <v>29</v>
      </c>
      <c r="H127" s="22">
        <v>25.5</v>
      </c>
      <c r="I127" s="19">
        <v>27.5</v>
      </c>
    </row>
    <row r="128" ht="100.15" customHeight="1" spans="1:9">
      <c r="A128" s="21" t="s">
        <v>252</v>
      </c>
      <c r="B128" s="41" t="s">
        <v>253</v>
      </c>
      <c r="C128" s="16" t="s">
        <v>87</v>
      </c>
      <c r="D128" s="42" t="str">
        <f>_xlfn.DISPIMG("ID_D24E097325BB4656B11292D6B0CB9884",1)</f>
        <v>=DISPIMG("ID_D24E097325BB4656B11292D6B0CB9884",1)</v>
      </c>
      <c r="E128" s="18">
        <v>50</v>
      </c>
      <c r="F128" s="19"/>
      <c r="G128" s="50">
        <v>30</v>
      </c>
      <c r="H128" s="22">
        <v>29</v>
      </c>
      <c r="I128" s="19">
        <v>31</v>
      </c>
    </row>
    <row r="129" ht="100.15" customHeight="1" spans="1:9">
      <c r="A129" s="21" t="s">
        <v>254</v>
      </c>
      <c r="B129" s="41" t="s">
        <v>255</v>
      </c>
      <c r="C129" s="16" t="s">
        <v>87</v>
      </c>
      <c r="D129" s="42" t="str">
        <f>_xlfn.DISPIMG("ID_D83E8C94CEBD4D3094FB64EE721C487F",1)</f>
        <v>=DISPIMG("ID_D83E8C94CEBD4D3094FB64EE721C487F",1)</v>
      </c>
      <c r="E129" s="18">
        <v>50</v>
      </c>
      <c r="F129" s="19"/>
      <c r="G129" s="50">
        <v>28</v>
      </c>
      <c r="H129" s="22">
        <v>27</v>
      </c>
      <c r="I129" s="19">
        <v>29</v>
      </c>
    </row>
    <row r="130" ht="100.15" customHeight="1" spans="1:9">
      <c r="A130" s="21" t="s">
        <v>256</v>
      </c>
      <c r="B130" s="41" t="s">
        <v>257</v>
      </c>
      <c r="C130" s="16" t="s">
        <v>87</v>
      </c>
      <c r="D130" s="42" t="str">
        <f>_xlfn.DISPIMG("ID_C41EA3BD8BD7453494C1BBCB131DB57B",1)</f>
        <v>=DISPIMG("ID_C41EA3BD8BD7453494C1BBCB131DB57B",1)</v>
      </c>
      <c r="E130" s="18">
        <v>50</v>
      </c>
      <c r="F130" s="19">
        <v>29</v>
      </c>
      <c r="G130" s="50">
        <v>31</v>
      </c>
      <c r="H130" s="22">
        <v>31</v>
      </c>
      <c r="I130" s="19">
        <v>33</v>
      </c>
    </row>
    <row r="131" ht="100.15" customHeight="1" spans="1:9">
      <c r="A131" s="21" t="s">
        <v>258</v>
      </c>
      <c r="B131" s="41" t="s">
        <v>259</v>
      </c>
      <c r="C131" s="16" t="s">
        <v>87</v>
      </c>
      <c r="D131" s="42" t="str">
        <f>_xlfn.DISPIMG("ID_6849B43A6D47403F8E3D5F838BC32AAA",1)</f>
        <v>=DISPIMG("ID_6849B43A6D47403F8E3D5F838BC32AAA",1)</v>
      </c>
      <c r="E131" s="18">
        <v>50</v>
      </c>
      <c r="F131" s="19"/>
      <c r="G131" s="50">
        <v>26</v>
      </c>
      <c r="H131" s="22">
        <v>25</v>
      </c>
      <c r="I131" s="19">
        <v>27</v>
      </c>
    </row>
    <row r="132" ht="100.15" customHeight="1" spans="1:9">
      <c r="A132" s="21" t="s">
        <v>260</v>
      </c>
      <c r="B132" s="41" t="s">
        <v>261</v>
      </c>
      <c r="C132" s="16" t="s">
        <v>87</v>
      </c>
      <c r="D132" s="42" t="str">
        <f>_xlfn.DISPIMG("ID_BA211D8E4BD4443A92572747B9B02E3E",1)</f>
        <v>=DISPIMG("ID_BA211D8E4BD4443A92572747B9B02E3E",1)</v>
      </c>
      <c r="E132" s="18">
        <v>50</v>
      </c>
      <c r="F132" s="19"/>
      <c r="G132" s="50">
        <v>31</v>
      </c>
      <c r="H132" s="22">
        <v>30</v>
      </c>
      <c r="I132" s="19">
        <v>32</v>
      </c>
    </row>
    <row r="133" ht="100.15" customHeight="1" spans="1:9">
      <c r="A133" s="21" t="s">
        <v>262</v>
      </c>
      <c r="B133" s="41" t="s">
        <v>263</v>
      </c>
      <c r="C133" s="16" t="s">
        <v>87</v>
      </c>
      <c r="D133" s="42" t="str">
        <f>_xlfn.DISPIMG("ID_B437E057EF6B478C925386A9E0FF0670",1)</f>
        <v>=DISPIMG("ID_B437E057EF6B478C925386A9E0FF0670",1)</v>
      </c>
      <c r="E133" s="18">
        <v>40</v>
      </c>
      <c r="F133" s="19"/>
      <c r="G133" s="50">
        <v>36</v>
      </c>
      <c r="H133" s="22">
        <v>34</v>
      </c>
      <c r="I133" s="19">
        <v>36</v>
      </c>
    </row>
    <row r="134" ht="100.15" customHeight="1" spans="1:9">
      <c r="A134" s="21" t="s">
        <v>264</v>
      </c>
      <c r="B134" s="41" t="s">
        <v>265</v>
      </c>
      <c r="C134" s="16" t="s">
        <v>87</v>
      </c>
      <c r="D134" s="42" t="str">
        <f>_xlfn.DISPIMG("ID_DC12E2CAAD1F4BBF86D7F2CED042155B",1)</f>
        <v>=DISPIMG("ID_DC12E2CAAD1F4BBF86D7F2CED042155B",1)</v>
      </c>
      <c r="E134" s="18">
        <v>50</v>
      </c>
      <c r="F134" s="19"/>
      <c r="G134" s="50">
        <v>26</v>
      </c>
      <c r="H134" s="22">
        <v>25</v>
      </c>
      <c r="I134" s="19">
        <v>27</v>
      </c>
    </row>
    <row r="135" ht="100.15" customHeight="1" spans="1:9">
      <c r="A135" s="21" t="s">
        <v>266</v>
      </c>
      <c r="B135" s="41" t="s">
        <v>267</v>
      </c>
      <c r="C135" s="16" t="s">
        <v>87</v>
      </c>
      <c r="D135" s="42" t="str">
        <f>_xlfn.DISPIMG("ID_B1AA3AD414AA42D883D10DBC95565EEF",1)</f>
        <v>=DISPIMG("ID_B1AA3AD414AA42D883D10DBC95565EEF",1)</v>
      </c>
      <c r="E135" s="18"/>
      <c r="F135" s="19"/>
      <c r="G135" s="50">
        <v>25</v>
      </c>
      <c r="H135" s="22">
        <v>23</v>
      </c>
      <c r="I135" s="19">
        <v>25</v>
      </c>
    </row>
    <row r="136" ht="100.15" customHeight="1" spans="1:9">
      <c r="A136" s="21" t="s">
        <v>268</v>
      </c>
      <c r="B136" s="41" t="s">
        <v>269</v>
      </c>
      <c r="C136" s="16" t="s">
        <v>87</v>
      </c>
      <c r="D136" s="42" t="str">
        <f>_xlfn.DISPIMG("ID_1A2ADCB648594C0187429E7A9BFCBEE7",1)</f>
        <v>=DISPIMG("ID_1A2ADCB648594C0187429E7A9BFCBEE7",1)</v>
      </c>
      <c r="E136" s="18">
        <v>50</v>
      </c>
      <c r="F136" s="19">
        <v>24</v>
      </c>
      <c r="G136" s="50">
        <v>29</v>
      </c>
      <c r="H136" s="22">
        <v>26</v>
      </c>
      <c r="I136" s="19">
        <v>28</v>
      </c>
    </row>
    <row r="137" ht="100.15" customHeight="1" spans="1:9">
      <c r="A137" s="21" t="s">
        <v>270</v>
      </c>
      <c r="B137" s="41" t="s">
        <v>271</v>
      </c>
      <c r="C137" s="16" t="s">
        <v>87</v>
      </c>
      <c r="D137" s="42" t="str">
        <f>_xlfn.DISPIMG("ID_89D813B917874B9BA3F2EC635E1DA1FC",1)</f>
        <v>=DISPIMG("ID_89D813B917874B9BA3F2EC635E1DA1FC",1)</v>
      </c>
      <c r="E137" s="18"/>
      <c r="F137" s="19"/>
      <c r="G137" s="50">
        <v>32</v>
      </c>
      <c r="H137" s="22">
        <v>31</v>
      </c>
      <c r="I137" s="19">
        <v>33</v>
      </c>
    </row>
    <row r="138" ht="100.15" customHeight="1" spans="1:9">
      <c r="A138" s="21" t="s">
        <v>272</v>
      </c>
      <c r="B138" s="41" t="s">
        <v>273</v>
      </c>
      <c r="C138" s="16" t="s">
        <v>87</v>
      </c>
      <c r="D138" s="42" t="str">
        <f>_xlfn.DISPIMG("ID_E1140CEC8D2145C2AA79694AA8ED7262",1)</f>
        <v>=DISPIMG("ID_E1140CEC8D2145C2AA79694AA8ED7262",1)</v>
      </c>
      <c r="E138" s="18"/>
      <c r="F138" s="19"/>
      <c r="G138" s="50">
        <v>10</v>
      </c>
      <c r="H138" s="22">
        <v>8</v>
      </c>
      <c r="I138" s="19">
        <v>10</v>
      </c>
    </row>
    <row r="139" ht="100.15" customHeight="1" spans="1:9">
      <c r="A139" s="21" t="s">
        <v>274</v>
      </c>
      <c r="B139" s="41" t="s">
        <v>275</v>
      </c>
      <c r="C139" s="16" t="s">
        <v>87</v>
      </c>
      <c r="D139" s="42" t="str">
        <f>_xlfn.DISPIMG("ID_536E5E75376D45FAB6F7DF966517045A",1)</f>
        <v>=DISPIMG("ID_536E5E75376D45FAB6F7DF966517045A",1)</v>
      </c>
      <c r="E139" s="18"/>
      <c r="F139" s="19"/>
      <c r="G139" s="50">
        <v>10</v>
      </c>
      <c r="H139" s="22">
        <v>8</v>
      </c>
      <c r="I139" s="19">
        <v>10</v>
      </c>
    </row>
    <row r="140" ht="100.15" customHeight="1" spans="1:9">
      <c r="A140" s="21" t="s">
        <v>276</v>
      </c>
      <c r="B140" s="41" t="s">
        <v>277</v>
      </c>
      <c r="C140" s="16" t="s">
        <v>87</v>
      </c>
      <c r="D140" s="42" t="str">
        <f>_xlfn.DISPIMG("ID_757F2DF3817F4C6889A90BAE54EC265C",1)</f>
        <v>=DISPIMG("ID_757F2DF3817F4C6889A90BAE54EC265C",1)</v>
      </c>
      <c r="E140" s="18"/>
      <c r="F140" s="19"/>
      <c r="G140" s="50">
        <v>10</v>
      </c>
      <c r="H140" s="22">
        <v>7</v>
      </c>
      <c r="I140" s="19">
        <v>9</v>
      </c>
    </row>
    <row r="141" ht="100.15" customHeight="1" spans="1:9">
      <c r="A141" s="21" t="s">
        <v>278</v>
      </c>
      <c r="B141" s="15" t="s">
        <v>279</v>
      </c>
      <c r="C141" s="16" t="s">
        <v>87</v>
      </c>
      <c r="D141" s="17" t="str">
        <f>_xlfn.DISPIMG("ID_C0AF22A981C5421FBC63DF3C9DE53C10",1)</f>
        <v>=DISPIMG("ID_C0AF22A981C5421FBC63DF3C9DE53C10",1)</v>
      </c>
      <c r="E141" s="18">
        <v>50</v>
      </c>
      <c r="F141" s="19">
        <v>27</v>
      </c>
      <c r="G141" s="50">
        <v>30</v>
      </c>
      <c r="H141" s="22">
        <v>29</v>
      </c>
      <c r="I141" s="19">
        <v>31</v>
      </c>
    </row>
    <row r="142" ht="95" customHeight="1" spans="1:9">
      <c r="A142" s="21" t="s">
        <v>280</v>
      </c>
      <c r="B142" s="15" t="s">
        <v>281</v>
      </c>
      <c r="C142" s="16" t="s">
        <v>87</v>
      </c>
      <c r="D142" s="17" t="str">
        <f>_xlfn.DISPIMG("ID_84C86FDE6E094B4383D6731BBF110013",1)</f>
        <v>=DISPIMG("ID_84C86FDE6E094B4383D6731BBF110013",1)</v>
      </c>
      <c r="E142" s="18">
        <v>50</v>
      </c>
      <c r="F142" s="19"/>
      <c r="G142" s="50">
        <v>27</v>
      </c>
      <c r="H142" s="20">
        <v>27</v>
      </c>
      <c r="I142" s="19">
        <v>29</v>
      </c>
    </row>
    <row r="143" ht="95" customHeight="1" spans="1:9">
      <c r="A143" s="21" t="s">
        <v>282</v>
      </c>
      <c r="B143" s="15" t="s">
        <v>283</v>
      </c>
      <c r="C143" s="16" t="s">
        <v>87</v>
      </c>
      <c r="D143" s="17" t="str">
        <f>_xlfn.DISPIMG("ID_28610FD4EDD4463CA701B7FB009978A7",1)</f>
        <v>=DISPIMG("ID_28610FD4EDD4463CA701B7FB009978A7",1)</v>
      </c>
      <c r="E143" s="18">
        <v>50</v>
      </c>
      <c r="F143" s="19">
        <v>21</v>
      </c>
      <c r="G143" s="50">
        <v>25</v>
      </c>
      <c r="H143" s="20">
        <v>23</v>
      </c>
      <c r="I143" s="19">
        <v>25</v>
      </c>
    </row>
    <row r="144" ht="95" customHeight="1" spans="1:9">
      <c r="A144" s="21" t="s">
        <v>284</v>
      </c>
      <c r="B144" s="15" t="s">
        <v>285</v>
      </c>
      <c r="C144" s="16" t="s">
        <v>87</v>
      </c>
      <c r="D144" s="17" t="str">
        <f>_xlfn.DISPIMG("ID_42F39675DFA143E3B73761242C124032",1)</f>
        <v>=DISPIMG("ID_42F39675DFA143E3B73761242C124032",1)</v>
      </c>
      <c r="E144" s="18"/>
      <c r="F144" s="19"/>
      <c r="G144" s="50">
        <v>18</v>
      </c>
      <c r="H144" s="20">
        <v>17</v>
      </c>
      <c r="I144" s="19">
        <v>19</v>
      </c>
    </row>
    <row r="145" ht="95" customHeight="1" spans="1:9">
      <c r="A145" s="21" t="s">
        <v>286</v>
      </c>
      <c r="B145" s="15" t="s">
        <v>287</v>
      </c>
      <c r="C145" s="16" t="s">
        <v>87</v>
      </c>
      <c r="D145" s="17" t="str">
        <f>_xlfn.DISPIMG("ID_EC41CD23155246F2B953E536CD6221EA",1)</f>
        <v>=DISPIMG("ID_EC41CD23155246F2B953E536CD6221EA",1)</v>
      </c>
      <c r="E145" s="18">
        <v>50</v>
      </c>
      <c r="F145" s="19">
        <v>31</v>
      </c>
      <c r="G145" s="50">
        <v>34</v>
      </c>
      <c r="H145" s="20">
        <v>33</v>
      </c>
      <c r="I145" s="19">
        <v>35</v>
      </c>
    </row>
    <row r="146" ht="95" customHeight="1" spans="1:9">
      <c r="A146" s="21" t="s">
        <v>288</v>
      </c>
      <c r="B146" s="15" t="s">
        <v>289</v>
      </c>
      <c r="C146" s="16" t="s">
        <v>87</v>
      </c>
      <c r="D146" s="17" t="str">
        <f>_xlfn.DISPIMG("ID_728FC7D1778E43A682F3D4D28FB75516",1)</f>
        <v>=DISPIMG("ID_728FC7D1778E43A682F3D4D28FB75516",1)</v>
      </c>
      <c r="E146" s="18">
        <v>50</v>
      </c>
      <c r="F146" s="19"/>
      <c r="G146" s="50">
        <v>34</v>
      </c>
      <c r="H146" s="20">
        <v>31</v>
      </c>
      <c r="I146" s="19">
        <v>33</v>
      </c>
    </row>
    <row r="147" ht="95" customHeight="1" spans="1:9">
      <c r="A147" s="21" t="s">
        <v>290</v>
      </c>
      <c r="B147" s="15" t="s">
        <v>291</v>
      </c>
      <c r="C147" s="16" t="s">
        <v>87</v>
      </c>
      <c r="D147" s="17" t="str">
        <f>_xlfn.DISPIMG("ID_254018CEB6E74A808B8AAF65BCB48E5F",1)</f>
        <v>=DISPIMG("ID_254018CEB6E74A808B8AAF65BCB48E5F",1)</v>
      </c>
      <c r="E147" s="18">
        <v>40</v>
      </c>
      <c r="F147" s="19"/>
      <c r="G147" s="50">
        <v>31</v>
      </c>
      <c r="H147" s="20">
        <v>30</v>
      </c>
      <c r="I147" s="19">
        <v>32</v>
      </c>
    </row>
    <row r="148" ht="95" customHeight="1" spans="1:9">
      <c r="A148" s="21" t="s">
        <v>292</v>
      </c>
      <c r="B148" s="15" t="s">
        <v>293</v>
      </c>
      <c r="C148" s="16" t="s">
        <v>87</v>
      </c>
      <c r="D148" s="17" t="str">
        <f>_xlfn.DISPIMG("ID_44774FB7A07D4F7284AC9317EF999A28",1)</f>
        <v>=DISPIMG("ID_44774FB7A07D4F7284AC9317EF999A28",1)</v>
      </c>
      <c r="E148" s="18">
        <v>50</v>
      </c>
      <c r="F148" s="19"/>
      <c r="G148" s="50">
        <v>48</v>
      </c>
      <c r="H148" s="20">
        <v>47</v>
      </c>
      <c r="I148" s="19">
        <v>49</v>
      </c>
    </row>
    <row r="149" ht="95" customHeight="1" spans="1:9">
      <c r="A149" s="21" t="s">
        <v>294</v>
      </c>
      <c r="B149" s="15" t="s">
        <v>295</v>
      </c>
      <c r="C149" s="16" t="s">
        <v>87</v>
      </c>
      <c r="D149" s="17" t="str">
        <f>_xlfn.DISPIMG("ID_64226257359A48F29B229DB521EB3A9E",1)</f>
        <v>=DISPIMG("ID_64226257359A48F29B229DB521EB3A9E",1)</v>
      </c>
      <c r="E149" s="18">
        <v>50</v>
      </c>
      <c r="F149" s="19">
        <v>21</v>
      </c>
      <c r="G149" s="50">
        <v>24</v>
      </c>
      <c r="H149" s="20">
        <v>23</v>
      </c>
      <c r="I149" s="19">
        <v>25</v>
      </c>
    </row>
    <row r="150" ht="95" customHeight="1" spans="1:9">
      <c r="A150" s="21" t="s">
        <v>296</v>
      </c>
      <c r="B150" s="15" t="s">
        <v>297</v>
      </c>
      <c r="C150" s="16" t="s">
        <v>87</v>
      </c>
      <c r="D150" s="17" t="str">
        <f>_xlfn.DISPIMG("ID_93348007F6524F3E91C485CC470F8A19",1)</f>
        <v>=DISPIMG("ID_93348007F6524F3E91C485CC470F8A19",1)</v>
      </c>
      <c r="E150" s="18">
        <v>50</v>
      </c>
      <c r="F150" s="19">
        <v>21</v>
      </c>
      <c r="G150" s="50">
        <v>24</v>
      </c>
      <c r="H150" s="20">
        <v>23</v>
      </c>
      <c r="I150" s="19">
        <v>25</v>
      </c>
    </row>
    <row r="151" ht="95" customHeight="1" spans="1:9">
      <c r="A151" s="21" t="s">
        <v>298</v>
      </c>
      <c r="B151" s="15" t="s">
        <v>299</v>
      </c>
      <c r="C151" s="16" t="s">
        <v>87</v>
      </c>
      <c r="D151" s="17" t="str">
        <f>_xlfn.DISPIMG("ID_B5A33664F387441C9FBEBD90E887753F",1)</f>
        <v>=DISPIMG("ID_B5A33664F387441C9FBEBD90E887753F",1)</v>
      </c>
      <c r="E151" s="18">
        <v>50</v>
      </c>
      <c r="F151" s="19">
        <v>27</v>
      </c>
      <c r="G151" s="50">
        <v>30</v>
      </c>
      <c r="H151" s="20">
        <v>29</v>
      </c>
      <c r="I151" s="19">
        <v>31</v>
      </c>
    </row>
    <row r="152" ht="95" customHeight="1" spans="1:9">
      <c r="A152" s="21" t="s">
        <v>300</v>
      </c>
      <c r="B152" s="15" t="s">
        <v>301</v>
      </c>
      <c r="C152" s="16" t="s">
        <v>87</v>
      </c>
      <c r="D152" s="17" t="str">
        <f>_xlfn.DISPIMG("ID_652ABA61077B44F7970834189389847C",1)</f>
        <v>=DISPIMG("ID_652ABA61077B44F7970834189389847C",1)</v>
      </c>
      <c r="E152" s="18">
        <v>50</v>
      </c>
      <c r="F152" s="19">
        <v>31</v>
      </c>
      <c r="G152" s="50">
        <v>35</v>
      </c>
      <c r="H152" s="20">
        <v>33</v>
      </c>
      <c r="I152" s="19">
        <v>35</v>
      </c>
    </row>
    <row r="153" ht="95" customHeight="1" spans="1:9">
      <c r="A153" s="21" t="s">
        <v>302</v>
      </c>
      <c r="B153" s="15" t="s">
        <v>303</v>
      </c>
      <c r="C153" s="16" t="s">
        <v>87</v>
      </c>
      <c r="D153" s="17" t="str">
        <f>_xlfn.DISPIMG("ID_3C6ABD3698CF4F0A90ACF6CA3A673DA1",1)</f>
        <v>=DISPIMG("ID_3C6ABD3698CF4F0A90ACF6CA3A673DA1",1)</v>
      </c>
      <c r="E153" s="18">
        <v>50</v>
      </c>
      <c r="F153" s="19"/>
      <c r="G153" s="50">
        <v>30</v>
      </c>
      <c r="H153" s="20">
        <v>29</v>
      </c>
      <c r="I153" s="19">
        <v>31</v>
      </c>
    </row>
    <row r="154" ht="95" customHeight="1" spans="1:9">
      <c r="A154" s="23" t="s">
        <v>304</v>
      </c>
      <c r="B154" s="24" t="s">
        <v>305</v>
      </c>
      <c r="C154" s="25" t="s">
        <v>87</v>
      </c>
      <c r="D154" s="26" t="str">
        <f>_xlfn.DISPIMG("ID_ADECC770C2714D1887FBCE2FF866A7B1",1)</f>
        <v>=DISPIMG("ID_ADECC770C2714D1887FBCE2FF866A7B1",1)</v>
      </c>
      <c r="E154" s="27">
        <v>50</v>
      </c>
      <c r="F154" s="28"/>
      <c r="G154" s="50">
        <v>35</v>
      </c>
      <c r="H154" s="54">
        <v>35</v>
      </c>
      <c r="I154" s="19">
        <v>37</v>
      </c>
    </row>
    <row r="155" ht="60" customHeight="1" spans="1:9">
      <c r="A155" s="21" t="s">
        <v>306</v>
      </c>
      <c r="B155" s="41" t="s">
        <v>307</v>
      </c>
      <c r="C155" s="16"/>
      <c r="D155" s="42" t="str">
        <f>_xlfn.DISPIMG("ID_E4F0548D93E842B68D17B93383ED11E4",1)</f>
        <v>=DISPIMG("ID_E4F0548D93E842B68D17B93383ED11E4",1)</v>
      </c>
      <c r="E155" s="18"/>
      <c r="F155" s="19"/>
      <c r="G155" s="18">
        <v>35</v>
      </c>
      <c r="H155" s="22">
        <v>31</v>
      </c>
      <c r="I155" s="19">
        <v>33</v>
      </c>
    </row>
    <row r="156" ht="60" customHeight="1" spans="1:9">
      <c r="A156" s="21" t="s">
        <v>308</v>
      </c>
      <c r="B156" s="41" t="s">
        <v>309</v>
      </c>
      <c r="C156" s="16"/>
      <c r="D156" s="42" t="str">
        <f>_xlfn.DISPIMG("ID_C2A3A3B93C154CBDB255A5093BE210C5",1)</f>
        <v>=DISPIMG("ID_C2A3A3B93C154CBDB255A5093BE210C5",1)</v>
      </c>
      <c r="E156" s="18"/>
      <c r="F156" s="19"/>
      <c r="G156" s="18">
        <v>11</v>
      </c>
      <c r="H156" s="22">
        <v>7</v>
      </c>
      <c r="I156" s="19">
        <v>9</v>
      </c>
    </row>
    <row r="157" ht="60" customHeight="1" spans="1:9">
      <c r="A157" s="21" t="s">
        <v>310</v>
      </c>
      <c r="B157" s="41" t="s">
        <v>311</v>
      </c>
      <c r="C157" s="16"/>
      <c r="D157" s="42" t="str">
        <f>_xlfn.DISPIMG("ID_AFFD7FBD77AE4A889FDB2AA054E18729",1)</f>
        <v>=DISPIMG("ID_AFFD7FBD77AE4A889FDB2AA054E18729",1)</v>
      </c>
      <c r="E157" s="18"/>
      <c r="F157" s="19"/>
      <c r="G157" s="18">
        <v>35</v>
      </c>
      <c r="H157" s="22">
        <v>31</v>
      </c>
      <c r="I157" s="19">
        <v>33</v>
      </c>
    </row>
    <row r="158" ht="60" customHeight="1" spans="1:9">
      <c r="A158" s="21" t="s">
        <v>312</v>
      </c>
      <c r="B158" s="41" t="s">
        <v>313</v>
      </c>
      <c r="C158" s="16"/>
      <c r="D158" s="42" t="str">
        <f>_xlfn.DISPIMG("ID_4F70A29A183B488CB85A170CDC766B67",1)</f>
        <v>=DISPIMG("ID_4F70A29A183B488CB85A170CDC766B67",1)</v>
      </c>
      <c r="E158" s="18"/>
      <c r="F158" s="19"/>
      <c r="G158" s="18">
        <v>11</v>
      </c>
      <c r="H158" s="22">
        <v>7</v>
      </c>
      <c r="I158" s="19">
        <v>9</v>
      </c>
    </row>
    <row r="159" ht="60" customHeight="1" spans="1:9">
      <c r="A159" s="21" t="s">
        <v>314</v>
      </c>
      <c r="B159" s="41" t="s">
        <v>315</v>
      </c>
      <c r="C159" s="16"/>
      <c r="D159" s="42" t="str">
        <f>_xlfn.DISPIMG("ID_9FFAD1DA2EE44286AA4DA00EB1F303E9",1)</f>
        <v>=DISPIMG("ID_9FFAD1DA2EE44286AA4DA00EB1F303E9",1)</v>
      </c>
      <c r="E159" s="18"/>
      <c r="F159" s="19"/>
      <c r="G159" s="18">
        <v>11</v>
      </c>
      <c r="H159" s="22">
        <v>7</v>
      </c>
      <c r="I159" s="19">
        <v>9</v>
      </c>
    </row>
    <row r="160" ht="60" customHeight="1" spans="1:9">
      <c r="A160" s="21" t="s">
        <v>316</v>
      </c>
      <c r="B160" s="41" t="s">
        <v>317</v>
      </c>
      <c r="C160" s="16"/>
      <c r="D160" s="42" t="str">
        <f>_xlfn.DISPIMG("ID_2533BF466F48489CAD1BAFF39761BD66",1)</f>
        <v>=DISPIMG("ID_2533BF466F48489CAD1BAFF39761BD66",1)</v>
      </c>
      <c r="E160" s="18"/>
      <c r="F160" s="19"/>
      <c r="G160" s="18">
        <v>33</v>
      </c>
      <c r="H160" s="22">
        <v>29</v>
      </c>
      <c r="I160" s="19">
        <v>31</v>
      </c>
    </row>
    <row r="161" ht="60" customHeight="1" spans="1:9">
      <c r="A161" s="21" t="s">
        <v>318</v>
      </c>
      <c r="B161" s="41" t="s">
        <v>319</v>
      </c>
      <c r="C161" s="16"/>
      <c r="D161" s="42" t="str">
        <f>_xlfn.DISPIMG("ID_F5B37F20127D462A9C2317AD105442CD",1)</f>
        <v>=DISPIMG("ID_F5B37F20127D462A9C2317AD105442CD",1)</v>
      </c>
      <c r="E161" s="18"/>
      <c r="F161" s="19"/>
      <c r="G161" s="18">
        <v>53</v>
      </c>
      <c r="H161" s="22">
        <v>49</v>
      </c>
      <c r="I161" s="19">
        <v>51</v>
      </c>
    </row>
    <row r="162" ht="95" customHeight="1" spans="1:9">
      <c r="A162" s="1" t="s">
        <v>320</v>
      </c>
      <c r="B162" s="13"/>
      <c r="C162" s="13"/>
      <c r="D162" s="13"/>
      <c r="E162" s="13"/>
      <c r="F162" s="13"/>
      <c r="G162" s="14"/>
      <c r="H162" s="13"/>
      <c r="I162" s="13"/>
    </row>
    <row r="163" ht="95" customHeight="1" spans="1:9">
      <c r="A163" s="34" t="s">
        <v>321</v>
      </c>
      <c r="B163" s="35" t="s">
        <v>322</v>
      </c>
      <c r="C163" s="36" t="s">
        <v>323</v>
      </c>
      <c r="D163" s="37" t="str">
        <f>_xlfn.DISPIMG("ID_E45CF644A25A417F8B8FCFEBCA7BD836",1)</f>
        <v>=DISPIMG("ID_E45CF644A25A417F8B8FCFEBCA7BD836",1)</v>
      </c>
      <c r="E163" s="38">
        <v>24</v>
      </c>
      <c r="F163" s="39"/>
      <c r="G163" s="18">
        <v>35</v>
      </c>
      <c r="H163" s="40">
        <v>35</v>
      </c>
      <c r="I163" s="19">
        <v>37</v>
      </c>
    </row>
    <row r="164" ht="95" customHeight="1" spans="1:9">
      <c r="A164" s="21" t="s">
        <v>324</v>
      </c>
      <c r="B164" s="15" t="s">
        <v>325</v>
      </c>
      <c r="C164" s="16" t="s">
        <v>323</v>
      </c>
      <c r="D164" t="str">
        <f>_xlfn.DISPIMG("ID_C062042809EB4BF590A33554C8C7ACEE",1)</f>
        <v>=DISPIMG("ID_C062042809EB4BF590A33554C8C7ACEE",1)</v>
      </c>
      <c r="E164" s="18">
        <v>24</v>
      </c>
      <c r="F164" s="19"/>
      <c r="G164" s="18">
        <v>50</v>
      </c>
      <c r="H164" s="22">
        <v>50</v>
      </c>
      <c r="I164" s="19">
        <v>52</v>
      </c>
    </row>
    <row r="165" ht="95" customHeight="1" spans="1:9">
      <c r="A165" s="21" t="s">
        <v>326</v>
      </c>
      <c r="B165" s="15" t="s">
        <v>327</v>
      </c>
      <c r="C165" s="16" t="s">
        <v>323</v>
      </c>
      <c r="D165" s="17" t="str">
        <f>_xlfn.DISPIMG("ID_8C860C84529A4142BC4A1D95EF3D7DA0",1)</f>
        <v>=DISPIMG("ID_8C860C84529A4142BC4A1D95EF3D7DA0",1)</v>
      </c>
      <c r="E165" s="18">
        <v>24</v>
      </c>
      <c r="F165" s="19"/>
      <c r="G165" s="18">
        <v>35</v>
      </c>
      <c r="H165" s="22">
        <v>35</v>
      </c>
      <c r="I165" s="19">
        <v>37</v>
      </c>
    </row>
    <row r="166" ht="95" customHeight="1" spans="1:9">
      <c r="A166" s="21" t="s">
        <v>328</v>
      </c>
      <c r="B166" s="15" t="s">
        <v>329</v>
      </c>
      <c r="C166" s="16" t="s">
        <v>323</v>
      </c>
      <c r="D166" s="17" t="str">
        <f>_xlfn.DISPIMG("ID_F905F0027AF2481A826C4A01598BF9E4",1)</f>
        <v>=DISPIMG("ID_F905F0027AF2481A826C4A01598BF9E4",1)</v>
      </c>
      <c r="E166" s="18"/>
      <c r="F166" s="19"/>
      <c r="G166" s="18">
        <v>52</v>
      </c>
      <c r="H166" s="22">
        <v>52</v>
      </c>
      <c r="I166" s="19">
        <v>54</v>
      </c>
    </row>
    <row r="167" ht="95" customHeight="1" spans="1:9">
      <c r="A167" s="21" t="s">
        <v>330</v>
      </c>
      <c r="B167" s="15" t="s">
        <v>331</v>
      </c>
      <c r="C167" s="16" t="s">
        <v>323</v>
      </c>
      <c r="D167" s="17" t="str">
        <f>_xlfn.DISPIMG("ID_AAF61DC66329465AAA0D20DDAB700090",1)</f>
        <v>=DISPIMG("ID_AAF61DC66329465AAA0D20DDAB700090",1)</v>
      </c>
      <c r="E167" s="18">
        <v>24</v>
      </c>
      <c r="F167" s="19"/>
      <c r="G167" s="18">
        <v>20</v>
      </c>
      <c r="H167" s="22">
        <v>20</v>
      </c>
      <c r="I167" s="19">
        <v>22</v>
      </c>
    </row>
    <row r="168" ht="95" customHeight="1" spans="1:9">
      <c r="A168" s="21" t="s">
        <v>332</v>
      </c>
      <c r="B168" s="15" t="s">
        <v>333</v>
      </c>
      <c r="C168" s="16" t="s">
        <v>323</v>
      </c>
      <c r="D168" s="17" t="str">
        <f>_xlfn.DISPIMG("ID_FE064749F4CF4A338781BA163A6674D7",1)</f>
        <v>=DISPIMG("ID_FE064749F4CF4A338781BA163A6674D7",1)</v>
      </c>
      <c r="E168" s="18">
        <v>24</v>
      </c>
      <c r="F168" s="19"/>
      <c r="G168" s="18">
        <v>32</v>
      </c>
      <c r="H168" s="22">
        <v>32</v>
      </c>
      <c r="I168" s="19">
        <v>34</v>
      </c>
    </row>
    <row r="169" ht="95" customHeight="1" spans="1:9">
      <c r="A169" s="21" t="s">
        <v>334</v>
      </c>
      <c r="B169" s="15" t="s">
        <v>335</v>
      </c>
      <c r="C169" s="16" t="s">
        <v>323</v>
      </c>
      <c r="D169" s="17" t="str">
        <f>_xlfn.DISPIMG("ID_38E99D013E1241EB8A16A552905C2585",1)</f>
        <v>=DISPIMG("ID_38E99D013E1241EB8A16A552905C2585",1)</v>
      </c>
      <c r="E169" s="18">
        <v>12</v>
      </c>
      <c r="F169" s="19"/>
      <c r="G169" s="18">
        <v>43</v>
      </c>
      <c r="H169" s="22">
        <v>40</v>
      </c>
      <c r="I169" s="19">
        <v>42</v>
      </c>
    </row>
    <row r="170" ht="95" customHeight="1" spans="1:9">
      <c r="A170" s="21" t="s">
        <v>336</v>
      </c>
      <c r="B170" s="15" t="s">
        <v>337</v>
      </c>
      <c r="C170" s="16" t="s">
        <v>323</v>
      </c>
      <c r="D170" s="17" t="str">
        <f>_xlfn.DISPIMG("ID_C2CEFE40DAFE424F9782F86362E062B3",1)</f>
        <v>=DISPIMG("ID_C2CEFE40DAFE424F9782F86362E062B3",1)</v>
      </c>
      <c r="E170" s="18">
        <v>24</v>
      </c>
      <c r="F170" s="19"/>
      <c r="G170" s="18">
        <v>30</v>
      </c>
      <c r="H170" s="22">
        <v>30</v>
      </c>
      <c r="I170" s="19">
        <v>32</v>
      </c>
    </row>
    <row r="171" ht="95" customHeight="1" spans="1:9">
      <c r="A171" s="21" t="s">
        <v>338</v>
      </c>
      <c r="B171" s="15" t="s">
        <v>339</v>
      </c>
      <c r="C171" s="16" t="s">
        <v>323</v>
      </c>
      <c r="D171" s="17" t="str">
        <f>_xlfn.DISPIMG("ID_6B208BD2B8BE4C4F9AAF181393DF4BF6",1)</f>
        <v>=DISPIMG("ID_6B208BD2B8BE4C4F9AAF181393DF4BF6",1)</v>
      </c>
      <c r="E171" s="18">
        <v>24</v>
      </c>
      <c r="F171" s="19"/>
      <c r="G171" s="18">
        <v>34</v>
      </c>
      <c r="H171" s="22">
        <v>32</v>
      </c>
      <c r="I171" s="19">
        <v>34</v>
      </c>
    </row>
    <row r="172" ht="95" customHeight="1" spans="1:9">
      <c r="A172" s="21" t="s">
        <v>340</v>
      </c>
      <c r="B172" s="15" t="s">
        <v>341</v>
      </c>
      <c r="C172" s="16" t="s">
        <v>323</v>
      </c>
      <c r="D172" s="17" t="str">
        <f>_xlfn.DISPIMG("ID_ADF043E418A048C196D0BAF8EE93746D",1)</f>
        <v>=DISPIMG("ID_ADF043E418A048C196D0BAF8EE93746D",1)</v>
      </c>
      <c r="E172" s="18">
        <v>12</v>
      </c>
      <c r="F172" s="19"/>
      <c r="G172" s="18">
        <v>48</v>
      </c>
      <c r="H172" s="22">
        <v>47</v>
      </c>
      <c r="I172" s="19">
        <v>49</v>
      </c>
    </row>
    <row r="173" ht="95" customHeight="1" spans="1:9">
      <c r="A173" s="21" t="s">
        <v>342</v>
      </c>
      <c r="B173" s="15" t="s">
        <v>343</v>
      </c>
      <c r="C173" s="16" t="s">
        <v>323</v>
      </c>
      <c r="D173" s="17" t="str">
        <f>_xlfn.DISPIMG("ID_1991CD057C524114A1BB3AAC45A5B514",1)</f>
        <v>=DISPIMG("ID_1991CD057C524114A1BB3AAC45A5B514",1)</v>
      </c>
      <c r="E173" s="18"/>
      <c r="F173" s="19"/>
      <c r="G173" s="18">
        <v>56</v>
      </c>
      <c r="H173" s="22">
        <v>56</v>
      </c>
      <c r="I173" s="19">
        <v>58</v>
      </c>
    </row>
    <row r="174" ht="95" customHeight="1" spans="1:9">
      <c r="A174" s="23" t="s">
        <v>344</v>
      </c>
      <c r="B174" s="24" t="s">
        <v>345</v>
      </c>
      <c r="C174" s="25" t="s">
        <v>323</v>
      </c>
      <c r="D174" s="26" t="str">
        <f>_xlfn.DISPIMG("ID_314DE85332B140619B121CF88A6E41B1",1)</f>
        <v>=DISPIMG("ID_314DE85332B140619B121CF88A6E41B1",1)</v>
      </c>
      <c r="E174" s="27"/>
      <c r="F174" s="28"/>
      <c r="G174" s="18">
        <v>38</v>
      </c>
      <c r="H174" s="29">
        <v>37</v>
      </c>
      <c r="I174" s="19">
        <v>39</v>
      </c>
    </row>
    <row r="175" ht="95" customHeight="1" spans="1:9">
      <c r="A175" s="1" t="s">
        <v>346</v>
      </c>
      <c r="B175" s="13"/>
      <c r="C175" s="13"/>
      <c r="D175" s="13"/>
      <c r="E175" s="13"/>
      <c r="F175" s="13"/>
      <c r="G175" s="14"/>
      <c r="H175" s="13"/>
      <c r="I175" s="13"/>
    </row>
    <row r="176" ht="100.15" customHeight="1" spans="1:9">
      <c r="A176" s="55" t="s">
        <v>347</v>
      </c>
      <c r="B176" s="56" t="s">
        <v>348</v>
      </c>
      <c r="C176" s="57" t="s">
        <v>349</v>
      </c>
      <c r="D176" s="58" t="str">
        <f>_xlfn.DISPIMG("ID_BB3D803158FC4B98B66A44BEB9187A37",1)</f>
        <v>=DISPIMG("ID_BB3D803158FC4B98B66A44BEB9187A37",1)</v>
      </c>
      <c r="E176" s="59"/>
      <c r="F176" s="60"/>
      <c r="G176" s="18">
        <v>123</v>
      </c>
      <c r="H176" s="61">
        <v>116</v>
      </c>
      <c r="I176" s="19">
        <v>118</v>
      </c>
    </row>
    <row r="177" ht="100.15" customHeight="1" spans="1:9">
      <c r="A177" s="1" t="s">
        <v>350</v>
      </c>
      <c r="B177" s="13"/>
      <c r="C177" s="13"/>
      <c r="D177" s="13"/>
      <c r="E177" s="13"/>
      <c r="F177" s="13"/>
      <c r="G177" s="14"/>
      <c r="H177" s="13"/>
      <c r="I177" s="13"/>
    </row>
    <row r="178" ht="100.15" customHeight="1" spans="1:9">
      <c r="A178" s="21" t="s">
        <v>351</v>
      </c>
      <c r="B178" s="41" t="s">
        <v>352</v>
      </c>
      <c r="C178" s="16" t="s">
        <v>12</v>
      </c>
      <c r="D178" s="42" t="str">
        <f>_xlfn.DISPIMG("ID_2DF8B970DAEE4481A587D87F5B51BEAA",1)</f>
        <v>=DISPIMG("ID_2DF8B970DAEE4481A587D87F5B51BEAA",1)</v>
      </c>
      <c r="E178" s="18"/>
      <c r="F178" s="19"/>
      <c r="G178" s="18">
        <v>83</v>
      </c>
      <c r="H178" s="22">
        <v>83</v>
      </c>
      <c r="I178" s="19">
        <v>85</v>
      </c>
    </row>
    <row r="179" ht="100.15" customHeight="1" spans="1:9">
      <c r="A179" s="21" t="s">
        <v>353</v>
      </c>
      <c r="B179" s="41" t="s">
        <v>354</v>
      </c>
      <c r="C179" s="16" t="s">
        <v>12</v>
      </c>
      <c r="D179" s="42" t="str">
        <f>_xlfn.DISPIMG("ID_88F5389ACF69452F92545B1679A53127",1)</f>
        <v>=DISPIMG("ID_88F5389ACF69452F92545B1679A53127",1)</v>
      </c>
      <c r="E179" s="18"/>
      <c r="F179" s="19"/>
      <c r="G179" s="18">
        <v>81</v>
      </c>
      <c r="H179" s="22">
        <v>81</v>
      </c>
      <c r="I179" s="19">
        <v>83</v>
      </c>
    </row>
    <row r="180" ht="95" customHeight="1" spans="1:9">
      <c r="A180" s="21" t="s">
        <v>355</v>
      </c>
      <c r="B180" s="15" t="s">
        <v>356</v>
      </c>
      <c r="C180" s="16" t="s">
        <v>349</v>
      </c>
      <c r="D180" s="17" t="str">
        <f>_xlfn.DISPIMG("ID_481B5C22D87F470280D5473CC601D848",1)</f>
        <v>=DISPIMG("ID_481B5C22D87F470280D5473CC601D848",1)</v>
      </c>
      <c r="E180" s="62"/>
      <c r="F180" s="63"/>
      <c r="G180" s="18">
        <v>50</v>
      </c>
      <c r="H180" s="22">
        <v>50</v>
      </c>
      <c r="I180" s="19">
        <v>52</v>
      </c>
    </row>
    <row r="181" ht="95" customHeight="1" spans="1:9">
      <c r="A181" s="21" t="s">
        <v>357</v>
      </c>
      <c r="B181" s="15" t="s">
        <v>358</v>
      </c>
      <c r="C181" s="16" t="s">
        <v>349</v>
      </c>
      <c r="D181" s="17" t="str">
        <f>_xlfn.DISPIMG("ID_9AAD39EE60EC4F68829EFCCB3358A932",1)</f>
        <v>=DISPIMG("ID_9AAD39EE60EC4F68829EFCCB3358A932",1)</v>
      </c>
      <c r="E181" s="62"/>
      <c r="F181" s="63"/>
      <c r="G181" s="18">
        <v>59</v>
      </c>
      <c r="H181" s="22">
        <v>59</v>
      </c>
      <c r="I181" s="19">
        <v>61</v>
      </c>
    </row>
    <row r="182" ht="95" customHeight="1" spans="1:9">
      <c r="A182" s="21" t="s">
        <v>359</v>
      </c>
      <c r="B182" s="15" t="s">
        <v>360</v>
      </c>
      <c r="C182" s="16" t="s">
        <v>349</v>
      </c>
      <c r="D182" s="17" t="str">
        <f>_xlfn.DISPIMG("ID_A402A1E4C60740218B01A007DFDCB83B",1)</f>
        <v>=DISPIMG("ID_A402A1E4C60740218B01A007DFDCB83B",1)</v>
      </c>
      <c r="E182" s="62"/>
      <c r="F182" s="63"/>
      <c r="G182" s="18">
        <v>67</v>
      </c>
      <c r="H182" s="22">
        <v>67</v>
      </c>
      <c r="I182" s="19">
        <v>69</v>
      </c>
    </row>
    <row r="183" ht="95" customHeight="1" spans="1:9">
      <c r="A183" s="21" t="s">
        <v>361</v>
      </c>
      <c r="B183" s="15" t="s">
        <v>362</v>
      </c>
      <c r="C183" s="16" t="s">
        <v>363</v>
      </c>
      <c r="D183" s="17" t="str">
        <f>_xlfn.DISPIMG("ID_2A12E151165C4BF396A23AA6CA3E58C3",1)</f>
        <v>=DISPIMG("ID_2A12E151165C4BF396A23AA6CA3E58C3",1)</v>
      </c>
      <c r="E183" s="62"/>
      <c r="F183" s="63"/>
      <c r="G183" s="18">
        <v>48</v>
      </c>
      <c r="H183" s="22">
        <v>48</v>
      </c>
      <c r="I183" s="19">
        <v>50</v>
      </c>
    </row>
    <row r="184" ht="95" customHeight="1" spans="1:9">
      <c r="A184" s="21" t="s">
        <v>364</v>
      </c>
      <c r="B184" s="15" t="s">
        <v>365</v>
      </c>
      <c r="C184" s="16" t="s">
        <v>349</v>
      </c>
      <c r="D184" s="17" t="str">
        <f>_xlfn.DISPIMG("ID_A7CB29953288420095DC61C61FB9D35C",1)</f>
        <v>=DISPIMG("ID_A7CB29953288420095DC61C61FB9D35C",1)</v>
      </c>
      <c r="E184" s="62"/>
      <c r="F184" s="63"/>
      <c r="G184" s="18">
        <v>87</v>
      </c>
      <c r="H184" s="22">
        <v>87</v>
      </c>
      <c r="I184" s="19">
        <v>89</v>
      </c>
    </row>
    <row r="185" ht="95" customHeight="1" spans="1:9">
      <c r="A185" s="21" t="s">
        <v>366</v>
      </c>
      <c r="B185" s="15" t="s">
        <v>367</v>
      </c>
      <c r="C185" s="16" t="s">
        <v>368</v>
      </c>
      <c r="D185" s="17" t="str">
        <f>_xlfn.DISPIMG("ID_8DCE0F7C12514754B964A4F7CEADFA88",1)</f>
        <v>=DISPIMG("ID_8DCE0F7C12514754B964A4F7CEADFA88",1)</v>
      </c>
      <c r="E185" s="62"/>
      <c r="F185" s="63"/>
      <c r="G185" s="18">
        <v>108</v>
      </c>
      <c r="H185" s="22">
        <v>98</v>
      </c>
      <c r="I185" s="19">
        <v>100</v>
      </c>
    </row>
    <row r="186" ht="95" customHeight="1" spans="1:9">
      <c r="A186" s="21" t="s">
        <v>369</v>
      </c>
      <c r="B186" s="15" t="s">
        <v>370</v>
      </c>
      <c r="C186" s="16" t="s">
        <v>368</v>
      </c>
      <c r="D186" s="17" t="str">
        <f>_xlfn.DISPIMG("ID_7A2F945BCEFC4D37AA7D1BAD57D967C9",1)</f>
        <v>=DISPIMG("ID_7A2F945BCEFC4D37AA7D1BAD57D967C9",1)</v>
      </c>
      <c r="E186" s="62"/>
      <c r="F186" s="63"/>
      <c r="G186" s="18">
        <v>108</v>
      </c>
      <c r="H186" s="22">
        <v>48</v>
      </c>
      <c r="I186" s="19">
        <v>50</v>
      </c>
    </row>
    <row r="187" ht="95" customHeight="1" spans="1:9">
      <c r="A187" s="21" t="s">
        <v>371</v>
      </c>
      <c r="B187" s="15" t="s">
        <v>372</v>
      </c>
      <c r="C187" s="16" t="s">
        <v>368</v>
      </c>
      <c r="D187" s="17" t="str">
        <f>_xlfn.DISPIMG("ID_10C834BE86204B2D9546DB3ED2C6FD9A",1)</f>
        <v>=DISPIMG("ID_10C834BE86204B2D9546DB3ED2C6FD9A",1)</v>
      </c>
      <c r="E187" s="62"/>
      <c r="F187" s="63"/>
      <c r="G187" s="18">
        <v>54</v>
      </c>
      <c r="H187" s="22">
        <v>48</v>
      </c>
      <c r="I187" s="19">
        <v>50</v>
      </c>
    </row>
    <row r="188" ht="95" customHeight="1" spans="1:9">
      <c r="A188" s="21" t="s">
        <v>373</v>
      </c>
      <c r="B188" s="15" t="s">
        <v>374</v>
      </c>
      <c r="C188" s="16" t="s">
        <v>349</v>
      </c>
      <c r="D188" s="17" t="str">
        <f>_xlfn.DISPIMG("ID_6F1A778BD9814C64A120DC14F1501516",1)</f>
        <v>=DISPIMG("ID_6F1A778BD9814C64A120DC14F1501516",1)</v>
      </c>
      <c r="E188" s="62"/>
      <c r="F188" s="63"/>
      <c r="G188" s="18">
        <v>70</v>
      </c>
      <c r="H188" s="22">
        <v>98</v>
      </c>
      <c r="I188" s="19">
        <v>100</v>
      </c>
    </row>
    <row r="189" ht="95" customHeight="1" spans="1:9">
      <c r="A189" s="21" t="s">
        <v>375</v>
      </c>
      <c r="B189" s="15" t="s">
        <v>376</v>
      </c>
      <c r="C189" s="16" t="s">
        <v>349</v>
      </c>
      <c r="D189" s="17" t="str">
        <f>_xlfn.DISPIMG("ID_05DA771A15E447B592BADCAABB9CF38D",1)</f>
        <v>=DISPIMG("ID_05DA771A15E447B592BADCAABB9CF38D",1)</v>
      </c>
      <c r="E189" s="62"/>
      <c r="F189" s="63"/>
      <c r="G189" s="18">
        <v>45</v>
      </c>
      <c r="H189" s="22">
        <v>48</v>
      </c>
      <c r="I189" s="19">
        <v>50</v>
      </c>
    </row>
    <row r="190" ht="95" customHeight="1" spans="1:9">
      <c r="A190" s="1" t="s">
        <v>377</v>
      </c>
      <c r="B190" s="13"/>
      <c r="C190" s="13"/>
      <c r="D190" s="13"/>
      <c r="E190" s="13"/>
      <c r="F190" s="13"/>
      <c r="G190" s="14"/>
      <c r="H190" s="13"/>
      <c r="I190" s="13"/>
    </row>
    <row r="191" ht="95" customHeight="1" spans="1:9">
      <c r="A191" s="21" t="s">
        <v>378</v>
      </c>
      <c r="B191" s="15" t="s">
        <v>379</v>
      </c>
      <c r="C191" s="16" t="s">
        <v>380</v>
      </c>
      <c r="D191" s="17" t="str">
        <f>_xlfn.DISPIMG("ID_F2C366DA0D98469593EB4E6C5CF9CE2D",1)</f>
        <v>=DISPIMG("ID_F2C366DA0D98469593EB4E6C5CF9CE2D",1)</v>
      </c>
      <c r="E191" s="62"/>
      <c r="F191" s="63"/>
      <c r="G191" s="18">
        <v>30</v>
      </c>
      <c r="H191" s="22">
        <v>30</v>
      </c>
      <c r="I191" s="19">
        <v>32</v>
      </c>
    </row>
    <row r="192" ht="95" customHeight="1" spans="1:9">
      <c r="A192" s="21" t="s">
        <v>381</v>
      </c>
      <c r="B192" s="15" t="s">
        <v>382</v>
      </c>
      <c r="C192" s="16" t="s">
        <v>383</v>
      </c>
      <c r="D192" s="17" t="str">
        <f>_xlfn.DISPIMG("ID_C4BF65FA9E304C1BB30F892639B7DD01",1)</f>
        <v>=DISPIMG("ID_C4BF65FA9E304C1BB30F892639B7DD01",1)</v>
      </c>
      <c r="E192" s="62"/>
      <c r="F192" s="63"/>
      <c r="G192" s="18">
        <v>30</v>
      </c>
      <c r="H192" s="22">
        <v>30</v>
      </c>
      <c r="I192" s="19">
        <v>32</v>
      </c>
    </row>
    <row r="193" ht="95" customHeight="1" spans="1:9">
      <c r="A193" s="21" t="s">
        <v>384</v>
      </c>
      <c r="B193" s="15" t="s">
        <v>385</v>
      </c>
      <c r="C193" s="16" t="s">
        <v>383</v>
      </c>
      <c r="D193" s="17" t="str">
        <f>_xlfn.DISPIMG("ID_FE53049B1F0D4F25B7C81E244812F1E3",1)</f>
        <v>=DISPIMG("ID_FE53049B1F0D4F25B7C81E244812F1E3",1)</v>
      </c>
      <c r="E193" s="62"/>
      <c r="F193" s="63"/>
      <c r="G193" s="18">
        <v>30</v>
      </c>
      <c r="H193" s="22">
        <v>30</v>
      </c>
      <c r="I193" s="19">
        <v>32</v>
      </c>
    </row>
    <row r="194" ht="95" customHeight="1" spans="1:9">
      <c r="A194" s="21" t="s">
        <v>386</v>
      </c>
      <c r="B194" s="15" t="s">
        <v>387</v>
      </c>
      <c r="C194" s="16" t="s">
        <v>383</v>
      </c>
      <c r="D194" s="17" t="str">
        <f>_xlfn.DISPIMG("ID_DA1C7C5F59B44176AFEF6C7229CA6A41",1)</f>
        <v>=DISPIMG("ID_DA1C7C5F59B44176AFEF6C7229CA6A41",1)</v>
      </c>
      <c r="E194" s="62"/>
      <c r="F194" s="63"/>
      <c r="G194" s="18">
        <v>30</v>
      </c>
      <c r="H194" s="22">
        <v>30</v>
      </c>
      <c r="I194" s="19">
        <v>32</v>
      </c>
    </row>
    <row r="195" ht="95" customHeight="1" spans="1:9">
      <c r="A195" s="21" t="s">
        <v>388</v>
      </c>
      <c r="B195" s="15" t="s">
        <v>389</v>
      </c>
      <c r="C195" s="16" t="s">
        <v>383</v>
      </c>
      <c r="D195" s="17" t="str">
        <f>_xlfn.DISPIMG("ID_22D998862FCF48438E1748A142FFCBB1",1)</f>
        <v>=DISPIMG("ID_22D998862FCF48438E1748A142FFCBB1",1)</v>
      </c>
      <c r="E195" s="62"/>
      <c r="F195" s="63"/>
      <c r="G195" s="18">
        <v>30</v>
      </c>
      <c r="H195" s="22">
        <v>30</v>
      </c>
      <c r="I195" s="19">
        <v>32</v>
      </c>
    </row>
    <row r="196" ht="95" customHeight="1" spans="1:9">
      <c r="A196" s="21" t="s">
        <v>390</v>
      </c>
      <c r="B196" s="15" t="s">
        <v>391</v>
      </c>
      <c r="C196" s="16" t="s">
        <v>383</v>
      </c>
      <c r="D196" s="17" t="str">
        <f>_xlfn.DISPIMG("ID_F7ABC911F0E146F9BE476EB27439436C",1)</f>
        <v>=DISPIMG("ID_F7ABC911F0E146F9BE476EB27439436C",1)</v>
      </c>
      <c r="E196" s="62"/>
      <c r="F196" s="63"/>
      <c r="G196" s="18">
        <v>30</v>
      </c>
      <c r="H196" s="22">
        <v>30</v>
      </c>
      <c r="I196" s="19">
        <v>32</v>
      </c>
    </row>
    <row r="197" ht="95" customHeight="1" spans="1:9">
      <c r="A197" s="21" t="s">
        <v>392</v>
      </c>
      <c r="B197" s="15" t="s">
        <v>393</v>
      </c>
      <c r="C197" s="16" t="s">
        <v>383</v>
      </c>
      <c r="D197" s="17" t="str">
        <f>_xlfn.DISPIMG("ID_F3E18B4C4FC649D8926321CFE933E757",1)</f>
        <v>=DISPIMG("ID_F3E18B4C4FC649D8926321CFE933E757",1)</v>
      </c>
      <c r="E197" s="62"/>
      <c r="F197" s="63"/>
      <c r="G197" s="18">
        <v>30</v>
      </c>
      <c r="H197" s="22">
        <v>30</v>
      </c>
      <c r="I197" s="19">
        <v>32</v>
      </c>
    </row>
    <row r="198" ht="100.15" customHeight="1" spans="1:9">
      <c r="A198" s="1" t="s">
        <v>394</v>
      </c>
      <c r="B198" s="13"/>
      <c r="C198" s="13"/>
      <c r="D198" s="13"/>
      <c r="E198" s="13"/>
      <c r="F198" s="13"/>
      <c r="G198" s="14"/>
      <c r="H198" s="13"/>
      <c r="I198" s="13"/>
    </row>
    <row r="199" ht="100.15" customHeight="1" spans="1:9">
      <c r="A199" s="21" t="s">
        <v>395</v>
      </c>
      <c r="B199" s="41" t="s">
        <v>396</v>
      </c>
      <c r="C199" s="16" t="s">
        <v>87</v>
      </c>
      <c r="D199" s="42" t="str">
        <f>_xlfn.DISPIMG("ID_426962F1B4674F32A8DF9AD7733CFE99",1)</f>
        <v>=DISPIMG("ID_426962F1B4674F32A8DF9AD7733CFE99",1)</v>
      </c>
      <c r="E199" s="18">
        <v>40</v>
      </c>
      <c r="F199" s="19">
        <v>20</v>
      </c>
      <c r="G199" s="50">
        <v>27</v>
      </c>
      <c r="H199" s="22">
        <v>27</v>
      </c>
      <c r="I199" s="19">
        <v>29</v>
      </c>
    </row>
    <row r="200" ht="100.15" customHeight="1" spans="1:9">
      <c r="A200" s="21" t="s">
        <v>397</v>
      </c>
      <c r="B200" s="41" t="s">
        <v>398</v>
      </c>
      <c r="C200" s="16" t="s">
        <v>87</v>
      </c>
      <c r="D200" s="42" t="str">
        <f>_xlfn.DISPIMG("ID_6ACBB498F8354A5694A338AECA228FE1",1)</f>
        <v>=DISPIMG("ID_6ACBB498F8354A5694A338AECA228FE1",1)</v>
      </c>
      <c r="E200" s="18">
        <v>40</v>
      </c>
      <c r="F200" s="19">
        <v>32</v>
      </c>
      <c r="G200" s="50">
        <v>33</v>
      </c>
      <c r="H200" s="22">
        <v>33</v>
      </c>
      <c r="I200" s="19">
        <v>35</v>
      </c>
    </row>
    <row r="201" ht="100.15" customHeight="1" spans="1:9">
      <c r="A201" s="21" t="s">
        <v>399</v>
      </c>
      <c r="B201" s="41" t="s">
        <v>400</v>
      </c>
      <c r="C201" s="16" t="s">
        <v>87</v>
      </c>
      <c r="D201" s="42" t="str">
        <f>_xlfn.DISPIMG("ID_7A0873DC6CC94A3F9EFAA887FC21F37C",1)</f>
        <v>=DISPIMG("ID_7A0873DC6CC94A3F9EFAA887FC21F37C",1)</v>
      </c>
      <c r="E201" s="18">
        <v>40</v>
      </c>
      <c r="F201" s="19"/>
      <c r="G201" s="50">
        <v>19</v>
      </c>
      <c r="H201" s="22">
        <v>19</v>
      </c>
      <c r="I201" s="19">
        <v>21</v>
      </c>
    </row>
    <row r="202" ht="100.15" customHeight="1" spans="1:9">
      <c r="A202" s="21" t="s">
        <v>401</v>
      </c>
      <c r="B202" s="41" t="s">
        <v>402</v>
      </c>
      <c r="C202" s="16" t="s">
        <v>87</v>
      </c>
      <c r="D202" s="42" t="str">
        <f>_xlfn.DISPIMG("ID_AEC933157C8D445F8D5C53F7CCFEA820",1)</f>
        <v>=DISPIMG("ID_AEC933157C8D445F8D5C53F7CCFEA820",1)</v>
      </c>
      <c r="E202" s="18">
        <v>40</v>
      </c>
      <c r="F202" s="19"/>
      <c r="G202" s="50">
        <v>19</v>
      </c>
      <c r="H202" s="22">
        <v>19</v>
      </c>
      <c r="I202" s="19">
        <v>21</v>
      </c>
    </row>
    <row r="203" ht="100.15" customHeight="1" spans="1:9">
      <c r="A203" s="21" t="s">
        <v>403</v>
      </c>
      <c r="B203" s="52" t="s">
        <v>404</v>
      </c>
      <c r="C203" s="16" t="s">
        <v>87</v>
      </c>
      <c r="D203" s="21" t="str">
        <f>_xlfn.DISPIMG("ID_8CF3FCC6A85C4B0BB7D48A968524CB6C",1)</f>
        <v>=DISPIMG("ID_8CF3FCC6A85C4B0BB7D48A968524CB6C",1)</v>
      </c>
      <c r="E203" s="18">
        <v>40</v>
      </c>
      <c r="F203" s="19">
        <v>29</v>
      </c>
      <c r="G203" s="50">
        <v>31</v>
      </c>
      <c r="H203" s="22">
        <v>31</v>
      </c>
      <c r="I203" s="19">
        <v>33</v>
      </c>
    </row>
    <row r="204" ht="100.15" customHeight="1" spans="1:9">
      <c r="A204" s="21" t="s">
        <v>405</v>
      </c>
      <c r="B204" s="52" t="s">
        <v>406</v>
      </c>
      <c r="C204" s="16" t="s">
        <v>87</v>
      </c>
      <c r="D204" s="21" t="str">
        <f>_xlfn.DISPIMG("ID_C66D85CFCD3543CDA6A6B557EE2AE21E",1)</f>
        <v>=DISPIMG("ID_C66D85CFCD3543CDA6A6B557EE2AE21E",1)</v>
      </c>
      <c r="E204" s="18">
        <v>40</v>
      </c>
      <c r="F204" s="19">
        <v>29</v>
      </c>
      <c r="G204" s="50">
        <v>22</v>
      </c>
      <c r="H204" s="22">
        <v>31</v>
      </c>
      <c r="I204" s="19">
        <v>33</v>
      </c>
    </row>
    <row r="205" ht="100.15" customHeight="1" spans="1:9">
      <c r="A205" s="21" t="s">
        <v>407</v>
      </c>
      <c r="B205" s="52" t="s">
        <v>408</v>
      </c>
      <c r="C205" s="16" t="s">
        <v>87</v>
      </c>
      <c r="D205" s="21" t="str">
        <f>_xlfn.DISPIMG("ID_F1F53FAFF8BF46F08F5B6C5D3E83AA18",1)</f>
        <v>=DISPIMG("ID_F1F53FAFF8BF46F08F5B6C5D3E83AA18",1)</v>
      </c>
      <c r="E205" s="18">
        <v>40</v>
      </c>
      <c r="F205" s="19">
        <v>31.5</v>
      </c>
      <c r="G205" s="50">
        <v>34</v>
      </c>
      <c r="H205" s="22">
        <v>32</v>
      </c>
      <c r="I205" s="19">
        <v>34</v>
      </c>
    </row>
    <row r="206" ht="100.15" customHeight="1" spans="1:9">
      <c r="A206" s="21" t="s">
        <v>409</v>
      </c>
      <c r="B206" s="52" t="s">
        <v>410</v>
      </c>
      <c r="C206" s="21" t="s">
        <v>87</v>
      </c>
      <c r="D206" s="21" t="str">
        <f>_xlfn.DISPIMG("ID_E1F11E6198B142A4A5856F30618E91C0",1)</f>
        <v>=DISPIMG("ID_E1F11E6198B142A4A5856F30618E91C0",1)</v>
      </c>
      <c r="E206" s="18">
        <v>40</v>
      </c>
      <c r="F206" s="19">
        <v>19.75</v>
      </c>
      <c r="G206" s="50">
        <v>24</v>
      </c>
      <c r="H206" s="22">
        <v>22</v>
      </c>
      <c r="I206" s="19">
        <v>24</v>
      </c>
    </row>
    <row r="207" ht="100.15" customHeight="1" spans="1:9">
      <c r="A207" s="21" t="s">
        <v>411</v>
      </c>
      <c r="B207" s="52" t="s">
        <v>412</v>
      </c>
      <c r="C207" s="21" t="s">
        <v>87</v>
      </c>
      <c r="D207" s="21" t="str">
        <f>_xlfn.DISPIMG("ID_410E8AFFA7C949198AB152B2A56AC55E",1)</f>
        <v>=DISPIMG("ID_410E8AFFA7C949198AB152B2A56AC55E",1)</v>
      </c>
      <c r="E207" s="18">
        <v>40</v>
      </c>
      <c r="F207" s="19">
        <v>32</v>
      </c>
      <c r="G207" s="50">
        <v>40</v>
      </c>
      <c r="H207" s="22">
        <v>34</v>
      </c>
      <c r="I207" s="19">
        <v>36</v>
      </c>
    </row>
    <row r="208" ht="100.15" customHeight="1" spans="1:9">
      <c r="A208" s="21" t="s">
        <v>413</v>
      </c>
      <c r="B208" s="52" t="s">
        <v>414</v>
      </c>
      <c r="C208" s="21" t="s">
        <v>87</v>
      </c>
      <c r="D208" s="21" t="str">
        <f>_xlfn.DISPIMG("ID_C73280D4F8F446078E7ABEBDE6BA119F",1)</f>
        <v>=DISPIMG("ID_C73280D4F8F446078E7ABEBDE6BA119F",1)</v>
      </c>
      <c r="E208" s="18">
        <v>40</v>
      </c>
      <c r="F208" s="19">
        <v>35.5</v>
      </c>
      <c r="G208" s="50">
        <v>38.5</v>
      </c>
      <c r="H208" s="22">
        <v>36.5</v>
      </c>
      <c r="I208" s="19">
        <v>38.5</v>
      </c>
    </row>
    <row r="209" ht="100.15" customHeight="1" spans="1:9">
      <c r="A209" s="21" t="s">
        <v>415</v>
      </c>
      <c r="B209" s="41" t="s">
        <v>416</v>
      </c>
      <c r="C209" s="16" t="s">
        <v>87</v>
      </c>
      <c r="D209" s="42" t="str">
        <f>_xlfn.DISPIMG("ID_D3965E74CE8445D5AF4D7004950A8158",1)</f>
        <v>=DISPIMG("ID_D3965E74CE8445D5AF4D7004950A8158",1)</v>
      </c>
      <c r="E209" s="18">
        <v>40</v>
      </c>
      <c r="F209" s="19">
        <v>36.5</v>
      </c>
      <c r="G209" s="50">
        <v>39</v>
      </c>
      <c r="H209" s="22">
        <v>37</v>
      </c>
      <c r="I209" s="19">
        <v>39</v>
      </c>
    </row>
    <row r="210" ht="100.15" customHeight="1" spans="1:9">
      <c r="A210" s="21" t="s">
        <v>417</v>
      </c>
      <c r="B210" s="41" t="s">
        <v>418</v>
      </c>
      <c r="C210" s="16" t="s">
        <v>87</v>
      </c>
      <c r="D210" s="64" t="str">
        <f>_xlfn.DISPIMG("ID_72C84382B1FD4A33B11D691EC114B022",1)</f>
        <v>=DISPIMG("ID_72C84382B1FD4A33B11D691EC114B022",1)</v>
      </c>
      <c r="E210" s="18">
        <v>50</v>
      </c>
      <c r="F210" s="19">
        <v>35</v>
      </c>
      <c r="G210" s="50">
        <v>39</v>
      </c>
      <c r="H210" s="22">
        <v>37</v>
      </c>
      <c r="I210" s="19">
        <v>39</v>
      </c>
    </row>
    <row r="211" ht="100.15" customHeight="1" spans="1:9">
      <c r="A211" s="21" t="s">
        <v>419</v>
      </c>
      <c r="B211" s="41" t="s">
        <v>420</v>
      </c>
      <c r="C211" s="16" t="s">
        <v>87</v>
      </c>
      <c r="D211" s="64" t="str">
        <f>_xlfn.DISPIMG("ID_AAD0630252E240AA9225171215BB89DD",1)</f>
        <v>=DISPIMG("ID_AAD0630252E240AA9225171215BB89DD",1)</v>
      </c>
      <c r="E211" s="18">
        <v>40</v>
      </c>
      <c r="F211" s="19">
        <v>25</v>
      </c>
      <c r="G211" s="50">
        <v>26</v>
      </c>
      <c r="H211" s="22">
        <v>28</v>
      </c>
      <c r="I211" s="19">
        <v>30</v>
      </c>
    </row>
    <row r="212" ht="100.15" customHeight="1" spans="1:9">
      <c r="A212" s="21" t="s">
        <v>421</v>
      </c>
      <c r="B212" s="41" t="s">
        <v>422</v>
      </c>
      <c r="C212" s="16" t="s">
        <v>87</v>
      </c>
      <c r="D212" s="64" t="str">
        <f>_xlfn.DISPIMG("ID_9AB0DF57BBB04CD3B684690A7CE475D5",1)</f>
        <v>=DISPIMG("ID_9AB0DF57BBB04CD3B684690A7CE475D5",1)</v>
      </c>
      <c r="E212" s="18">
        <v>40</v>
      </c>
      <c r="F212" s="19">
        <v>27</v>
      </c>
      <c r="G212" s="50">
        <v>29</v>
      </c>
      <c r="H212" s="22">
        <v>29</v>
      </c>
      <c r="I212" s="19">
        <v>31</v>
      </c>
    </row>
    <row r="213" ht="60" customHeight="1" spans="1:9">
      <c r="A213" s="21" t="s">
        <v>423</v>
      </c>
      <c r="B213" s="41" t="s">
        <v>424</v>
      </c>
      <c r="C213" s="16"/>
      <c r="D213" s="42" t="str">
        <f>_xlfn.DISPIMG("ID_0A06976117FD459EB13CCE49FA27E269",1)</f>
        <v>=DISPIMG("ID_0A06976117FD459EB13CCE49FA27E269",1)</v>
      </c>
      <c r="E213" s="18"/>
      <c r="F213" s="19"/>
      <c r="G213" s="18">
        <v>42</v>
      </c>
      <c r="H213" s="22">
        <v>38</v>
      </c>
      <c r="I213" s="19">
        <v>40</v>
      </c>
    </row>
    <row r="214" ht="60" customHeight="1" spans="1:9">
      <c r="A214" s="21" t="s">
        <v>425</v>
      </c>
      <c r="B214" s="41" t="s">
        <v>426</v>
      </c>
      <c r="C214" s="16"/>
      <c r="D214" s="42"/>
      <c r="E214" s="18"/>
      <c r="F214" s="19"/>
      <c r="G214" s="18">
        <v>33</v>
      </c>
      <c r="H214" s="22">
        <v>29</v>
      </c>
      <c r="I214" s="19">
        <v>31</v>
      </c>
    </row>
    <row r="215" ht="60" customHeight="1" spans="1:9">
      <c r="A215" s="21" t="s">
        <v>427</v>
      </c>
      <c r="B215" s="41" t="s">
        <v>428</v>
      </c>
      <c r="C215" s="16"/>
      <c r="D215" s="42" t="str">
        <f>_xlfn.DISPIMG("ID_FCD652AA8CAE49069FB5D88EACD07230",1)</f>
        <v>=DISPIMG("ID_FCD652AA8CAE49069FB5D88EACD07230",1)</v>
      </c>
      <c r="E215" s="18"/>
      <c r="F215" s="19"/>
      <c r="G215" s="18">
        <v>42</v>
      </c>
      <c r="H215" s="22">
        <v>38</v>
      </c>
      <c r="I215" s="19">
        <v>40</v>
      </c>
    </row>
    <row r="216" ht="60" customHeight="1" spans="1:9">
      <c r="A216" s="21" t="s">
        <v>429</v>
      </c>
      <c r="B216" s="41" t="s">
        <v>430</v>
      </c>
      <c r="C216" s="16"/>
      <c r="D216" s="42" t="str">
        <f>_xlfn.DISPIMG("ID_A981AFA18C2745B28EF458881488982D",1)</f>
        <v>=DISPIMG("ID_A981AFA18C2745B28EF458881488982D",1)</v>
      </c>
      <c r="E216" s="18"/>
      <c r="F216" s="19"/>
      <c r="G216" s="18">
        <v>59</v>
      </c>
      <c r="H216" s="22">
        <v>55</v>
      </c>
      <c r="I216" s="19">
        <v>57</v>
      </c>
    </row>
    <row r="217" ht="60" customHeight="1" spans="1:9">
      <c r="A217" s="21" t="s">
        <v>431</v>
      </c>
      <c r="B217" s="41" t="s">
        <v>432</v>
      </c>
      <c r="C217" s="16"/>
      <c r="D217" s="42" t="str">
        <f>_xlfn.DISPIMG("ID_CB74031EBBA64A71817D4D3114FB1C7E",1)</f>
        <v>=DISPIMG("ID_CB74031EBBA64A71817D4D3114FB1C7E",1)</v>
      </c>
      <c r="E217" s="18"/>
      <c r="F217" s="19"/>
      <c r="G217" s="18">
        <v>27</v>
      </c>
      <c r="H217" s="22">
        <v>23</v>
      </c>
      <c r="I217" s="19">
        <v>25</v>
      </c>
    </row>
    <row r="218" ht="100.15" customHeight="1" spans="1:9">
      <c r="A218" s="1" t="s">
        <v>433</v>
      </c>
      <c r="B218" s="13"/>
      <c r="C218" s="13"/>
      <c r="D218" s="13"/>
      <c r="E218" s="13"/>
      <c r="F218" s="13"/>
      <c r="G218" s="14"/>
      <c r="H218" s="13"/>
      <c r="I218" s="13"/>
    </row>
    <row r="219" ht="100.15" customHeight="1" spans="1:9">
      <c r="A219" s="21" t="s">
        <v>434</v>
      </c>
      <c r="B219" s="41" t="s">
        <v>435</v>
      </c>
      <c r="C219" s="16" t="s">
        <v>83</v>
      </c>
      <c r="D219" s="65" t="str">
        <f>_xlfn.DISPIMG("ID_C11DDAF7DDF74D7187D968EFE58C827C",1)</f>
        <v>=DISPIMG("ID_C11DDAF7DDF74D7187D968EFE58C827C",1)</v>
      </c>
      <c r="E219" s="18"/>
      <c r="F219" s="19">
        <v>24.5</v>
      </c>
      <c r="G219" s="66">
        <v>28</v>
      </c>
      <c r="H219" s="22">
        <v>26</v>
      </c>
      <c r="I219" s="19">
        <v>28</v>
      </c>
    </row>
    <row r="220" ht="100.15" customHeight="1" spans="1:9">
      <c r="A220" s="1" t="s">
        <v>436</v>
      </c>
      <c r="B220" s="13"/>
      <c r="C220" s="13"/>
      <c r="D220" s="13"/>
      <c r="E220" s="13"/>
      <c r="F220" s="13"/>
      <c r="G220" s="14"/>
      <c r="H220" s="13"/>
      <c r="I220" s="13"/>
    </row>
    <row r="221" ht="100.15" customHeight="1" spans="1:9">
      <c r="A221" s="21" t="s">
        <v>437</v>
      </c>
      <c r="B221" s="41" t="s">
        <v>438</v>
      </c>
      <c r="C221" s="16"/>
      <c r="D221" s="65" t="str">
        <f>_xlfn.DISPIMG("ID_C40158F271CA434392E18631258DBEFF",1)</f>
        <v>=DISPIMG("ID_C40158F271CA434392E18631258DBEFF",1)</v>
      </c>
      <c r="E221" s="18">
        <v>48</v>
      </c>
      <c r="F221" s="19">
        <v>46</v>
      </c>
      <c r="G221" s="67">
        <v>50</v>
      </c>
      <c r="H221" s="22">
        <v>48</v>
      </c>
      <c r="I221" s="19">
        <v>50</v>
      </c>
    </row>
    <row r="222" ht="100.15" customHeight="1" spans="1:9">
      <c r="A222" s="1" t="s">
        <v>439</v>
      </c>
      <c r="B222" s="13"/>
      <c r="C222" s="13"/>
      <c r="D222" s="13"/>
      <c r="E222" s="13"/>
      <c r="F222" s="13"/>
      <c r="G222" s="14"/>
      <c r="H222" s="13"/>
      <c r="I222" s="13"/>
    </row>
    <row r="223" ht="100.15" customHeight="1" spans="1:9">
      <c r="A223" s="21" t="s">
        <v>440</v>
      </c>
      <c r="B223" s="41" t="s">
        <v>441</v>
      </c>
      <c r="C223" s="16" t="s">
        <v>87</v>
      </c>
      <c r="D223" s="42" t="str">
        <f>_xlfn.DISPIMG("ID_69B81B3328AD43A3BD30DCDF81B46123",1)</f>
        <v>=DISPIMG("ID_69B81B3328AD43A3BD30DCDF81B46123",1)</v>
      </c>
      <c r="E223" s="18"/>
      <c r="F223" s="19"/>
      <c r="G223" s="68">
        <v>29</v>
      </c>
      <c r="H223" s="22">
        <v>27</v>
      </c>
      <c r="I223" s="19">
        <v>29</v>
      </c>
    </row>
    <row r="224" ht="100.15" customHeight="1" spans="1:9">
      <c r="A224" s="1" t="s">
        <v>442</v>
      </c>
      <c r="B224" s="13"/>
      <c r="C224" s="13"/>
      <c r="D224" s="13"/>
      <c r="E224" s="13"/>
      <c r="F224" s="13"/>
      <c r="G224" s="14"/>
      <c r="H224" s="13"/>
      <c r="I224" s="13"/>
    </row>
    <row r="225" ht="99.95" customHeight="1" spans="1:9">
      <c r="A225" s="21" t="s">
        <v>443</v>
      </c>
      <c r="B225" s="41" t="s">
        <v>444</v>
      </c>
      <c r="C225" s="16" t="s">
        <v>323</v>
      </c>
      <c r="D225" s="42" t="str">
        <f>_xlfn.DISPIMG("ID_196A1088B6C84537BED71DB17AA8D77C",1)</f>
        <v>=DISPIMG("ID_196A1088B6C84537BED71DB17AA8D77C",1)</v>
      </c>
      <c r="E225" s="19">
        <v>90</v>
      </c>
      <c r="F225" s="19"/>
      <c r="G225" s="18">
        <v>26</v>
      </c>
      <c r="H225" s="22">
        <v>25</v>
      </c>
      <c r="I225" s="19">
        <v>27</v>
      </c>
    </row>
    <row r="226" ht="99.95" customHeight="1" spans="1:9">
      <c r="A226" s="21" t="s">
        <v>445</v>
      </c>
      <c r="B226" s="41" t="s">
        <v>446</v>
      </c>
      <c r="C226" s="16" t="s">
        <v>323</v>
      </c>
      <c r="D226" s="42" t="str">
        <f>_xlfn.DISPIMG("ID_196A1088B6C84537BED71DB17AA8D77C",1)</f>
        <v>=DISPIMG("ID_196A1088B6C84537BED71DB17AA8D77C",1)</v>
      </c>
      <c r="E226" s="19">
        <v>42</v>
      </c>
      <c r="F226" s="19">
        <v>46</v>
      </c>
      <c r="G226" s="18">
        <v>48</v>
      </c>
      <c r="H226" s="22">
        <v>46</v>
      </c>
      <c r="I226" s="19">
        <v>48</v>
      </c>
    </row>
    <row r="227" ht="69" customHeight="1" spans="1:9">
      <c r="A227" s="1" t="s">
        <v>447</v>
      </c>
      <c r="B227" s="13"/>
      <c r="C227" s="13"/>
      <c r="D227" s="13"/>
      <c r="E227" s="13"/>
      <c r="F227" s="13"/>
      <c r="G227" s="14"/>
      <c r="H227" s="13"/>
      <c r="I227" s="13"/>
    </row>
    <row r="228" ht="95" customHeight="1" spans="1:9">
      <c r="A228" s="21" t="s">
        <v>448</v>
      </c>
      <c r="B228" s="15" t="s">
        <v>449</v>
      </c>
      <c r="C228" s="36" t="s">
        <v>87</v>
      </c>
      <c r="D228" s="17" t="str">
        <f>_xlfn.DISPIMG("ID_9F4849E78711468B827D55291742F88F",1)</f>
        <v>=DISPIMG("ID_9F4849E78711468B827D55291742F88F",1)</v>
      </c>
      <c r="E228" s="38">
        <v>18</v>
      </c>
      <c r="F228" s="69">
        <v>40</v>
      </c>
      <c r="G228" s="66">
        <v>50</v>
      </c>
      <c r="H228" s="70">
        <v>45</v>
      </c>
      <c r="I228" s="19">
        <v>48</v>
      </c>
    </row>
    <row r="229" ht="95" customHeight="1" spans="1:9">
      <c r="A229" s="34" t="s">
        <v>450</v>
      </c>
      <c r="B229" s="35" t="s">
        <v>451</v>
      </c>
      <c r="C229" s="36" t="s">
        <v>87</v>
      </c>
      <c r="D229" t="str">
        <f>_xlfn.DISPIMG("ID_EC8C52C4C07147818A23D6F9C6A88769",1)</f>
        <v>=DISPIMG("ID_EC8C52C4C07147818A23D6F9C6A88769",1)</v>
      </c>
      <c r="E229" s="38">
        <v>96</v>
      </c>
      <c r="F229" s="71">
        <v>37</v>
      </c>
      <c r="G229" s="66">
        <v>39</v>
      </c>
      <c r="H229" s="72">
        <v>39</v>
      </c>
      <c r="I229" s="19">
        <v>39</v>
      </c>
    </row>
    <row r="230" ht="95" customHeight="1" spans="1:9">
      <c r="A230" s="21" t="s">
        <v>452</v>
      </c>
      <c r="B230" s="15" t="s">
        <v>453</v>
      </c>
      <c r="C230" s="16" t="s">
        <v>87</v>
      </c>
      <c r="D230" s="17" t="str">
        <f>_xlfn.DISPIMG("ID_7DA2117262A74F068808420805B35D03",1)</f>
        <v>=DISPIMG("ID_7DA2117262A74F068808420805B35D03",1)</v>
      </c>
      <c r="E230" s="18">
        <v>96</v>
      </c>
      <c r="F230" s="69">
        <v>39</v>
      </c>
      <c r="G230" s="66">
        <v>40</v>
      </c>
      <c r="H230" s="70">
        <v>40</v>
      </c>
      <c r="I230" s="19">
        <v>40</v>
      </c>
    </row>
    <row r="231" ht="95" customHeight="1" spans="1:9">
      <c r="A231" s="21" t="s">
        <v>454</v>
      </c>
      <c r="B231" s="15" t="s">
        <v>455</v>
      </c>
      <c r="C231" s="16" t="s">
        <v>87</v>
      </c>
      <c r="D231" s="17" t="str">
        <f>_xlfn.DISPIMG("ID_2279ADE4A8BC4EC1B737F27B0F73BD52",1)</f>
        <v>=DISPIMG("ID_2279ADE4A8BC4EC1B737F27B0F73BD52",1)</v>
      </c>
      <c r="E231" s="18">
        <v>108</v>
      </c>
      <c r="F231" s="69">
        <v>34</v>
      </c>
      <c r="G231" s="66">
        <v>39</v>
      </c>
      <c r="H231" s="70">
        <v>36</v>
      </c>
      <c r="I231" s="19">
        <v>37</v>
      </c>
    </row>
    <row r="232" ht="95" customHeight="1" spans="1:9">
      <c r="A232" s="73" t="s">
        <v>456</v>
      </c>
      <c r="B232" s="15" t="s">
        <v>457</v>
      </c>
      <c r="C232" s="16" t="s">
        <v>87</v>
      </c>
      <c r="D232" s="17" t="str">
        <f>_xlfn.DISPIMG("ID_CD4DCC2915034AFDB73544A44DE194F3",1)</f>
        <v>=DISPIMG("ID_CD4DCC2915034AFDB73544A44DE194F3",1)</v>
      </c>
      <c r="E232" s="18">
        <v>96</v>
      </c>
      <c r="F232" s="69">
        <v>36</v>
      </c>
      <c r="G232" s="66">
        <v>38</v>
      </c>
      <c r="H232" s="70">
        <v>37</v>
      </c>
      <c r="I232" s="19">
        <v>37</v>
      </c>
    </row>
    <row r="233" ht="95" customHeight="1" spans="1:9">
      <c r="A233" s="73" t="s">
        <v>458</v>
      </c>
      <c r="B233" s="15" t="s">
        <v>459</v>
      </c>
      <c r="C233" s="16" t="s">
        <v>87</v>
      </c>
      <c r="D233" s="17" t="str">
        <f>_xlfn.DISPIMG("ID_DEDBE20A2F734878A8960ED3E10704C0",1)</f>
        <v>=DISPIMG("ID_DEDBE20A2F734878A8960ED3E10704C0",1)</v>
      </c>
      <c r="E233" s="18">
        <v>96</v>
      </c>
      <c r="F233" s="69">
        <v>36</v>
      </c>
      <c r="G233" s="66">
        <v>38</v>
      </c>
      <c r="H233" s="70">
        <v>37</v>
      </c>
      <c r="I233" s="19">
        <v>37</v>
      </c>
    </row>
    <row r="234" ht="95" customHeight="1" spans="1:9">
      <c r="A234" s="74" t="s">
        <v>460</v>
      </c>
      <c r="B234" s="15" t="s">
        <v>461</v>
      </c>
      <c r="C234" s="16" t="s">
        <v>87</v>
      </c>
      <c r="D234" s="75" t="str">
        <f>_xlfn.DISPIMG("ID_8E238B5ED4C34F87825E5D2D33E56A25",1)</f>
        <v>=DISPIMG("ID_8E238B5ED4C34F87825E5D2D33E56A25",1)</v>
      </c>
      <c r="E234" s="18">
        <v>36</v>
      </c>
      <c r="F234" s="46">
        <v>41.5</v>
      </c>
      <c r="G234" s="66">
        <v>43</v>
      </c>
      <c r="H234" s="47">
        <v>42.5</v>
      </c>
      <c r="I234" s="19">
        <v>43</v>
      </c>
    </row>
    <row r="235" ht="95" customHeight="1" spans="1:9">
      <c r="A235" s="74" t="s">
        <v>462</v>
      </c>
      <c r="B235" s="15" t="s">
        <v>463</v>
      </c>
      <c r="C235" s="16" t="s">
        <v>87</v>
      </c>
      <c r="D235" s="75" t="str">
        <f>_xlfn.DISPIMG("ID_EE42F53C8EEA49A48E444DF206B15295",1)</f>
        <v>=DISPIMG("ID_EE42F53C8EEA49A48E444DF206B15295",1)</v>
      </c>
      <c r="E235" s="18">
        <v>36</v>
      </c>
      <c r="F235" s="46">
        <v>41.5</v>
      </c>
      <c r="G235" s="66">
        <v>43</v>
      </c>
      <c r="H235" s="47">
        <v>42.5</v>
      </c>
      <c r="I235" s="19">
        <v>43</v>
      </c>
    </row>
    <row r="236" ht="95" customHeight="1" spans="1:9">
      <c r="A236" s="74" t="s">
        <v>464</v>
      </c>
      <c r="B236" s="15" t="s">
        <v>465</v>
      </c>
      <c r="C236" s="16" t="s">
        <v>87</v>
      </c>
      <c r="D236" s="75" t="str">
        <f>_xlfn.DISPIMG("ID_EE4BFA554D974E10B2AFA0DA9D530E0B",1)</f>
        <v>=DISPIMG("ID_EE4BFA554D974E10B2AFA0DA9D530E0B",1)</v>
      </c>
      <c r="E236" s="18">
        <v>36</v>
      </c>
      <c r="F236" s="46">
        <v>43.5</v>
      </c>
      <c r="G236" s="76">
        <v>46.5</v>
      </c>
      <c r="H236" s="47">
        <v>44.5</v>
      </c>
      <c r="I236" s="19">
        <v>46.5</v>
      </c>
    </row>
    <row r="237" ht="95" customHeight="1" spans="1:9">
      <c r="A237" s="74" t="s">
        <v>466</v>
      </c>
      <c r="B237" s="15" t="s">
        <v>467</v>
      </c>
      <c r="C237" s="16" t="s">
        <v>87</v>
      </c>
      <c r="D237" s="75" t="str">
        <f>_xlfn.DISPIMG("ID_F2C146DD3E554238AD77829198DCB0DE",1)</f>
        <v>=DISPIMG("ID_F2C146DD3E554238AD77829198DCB0DE",1)</v>
      </c>
      <c r="E237" s="18">
        <v>48</v>
      </c>
      <c r="F237" s="46">
        <v>36</v>
      </c>
      <c r="G237" s="66">
        <v>39</v>
      </c>
      <c r="H237" s="47">
        <v>37</v>
      </c>
      <c r="I237" s="19">
        <v>39</v>
      </c>
    </row>
    <row r="238" ht="95" customHeight="1" spans="1:9">
      <c r="A238" s="43" t="s">
        <v>468</v>
      </c>
      <c r="B238" s="15" t="s">
        <v>469</v>
      </c>
      <c r="C238" s="16" t="s">
        <v>87</v>
      </c>
      <c r="D238" s="75" t="str">
        <f>_xlfn.DISPIMG("ID_B63CC1A8587F4E44BBFEDF27466FF4BB",1)</f>
        <v>=DISPIMG("ID_B63CC1A8587F4E44BBFEDF27466FF4BB",1)</v>
      </c>
      <c r="E238" s="18">
        <v>48</v>
      </c>
      <c r="F238" s="46">
        <v>36</v>
      </c>
      <c r="G238" s="66">
        <v>39</v>
      </c>
      <c r="H238" s="47">
        <v>37</v>
      </c>
      <c r="I238" s="19">
        <v>39</v>
      </c>
    </row>
    <row r="239" ht="95" customHeight="1" spans="1:9">
      <c r="A239" s="74" t="s">
        <v>470</v>
      </c>
      <c r="B239" s="15" t="s">
        <v>471</v>
      </c>
      <c r="C239" s="16" t="s">
        <v>87</v>
      </c>
      <c r="D239" s="75" t="str">
        <f>_xlfn.DISPIMG("ID_C77684FB9A8E48DEA64FCA812720DA97",1)</f>
        <v>=DISPIMG("ID_C77684FB9A8E48DEA64FCA812720DA97",1)</v>
      </c>
      <c r="E239" s="18">
        <v>48</v>
      </c>
      <c r="F239" s="46">
        <v>36</v>
      </c>
      <c r="G239" s="66">
        <v>39</v>
      </c>
      <c r="H239" s="47">
        <v>37</v>
      </c>
      <c r="I239" s="19">
        <v>39</v>
      </c>
    </row>
    <row r="240" ht="95" customHeight="1" spans="1:9">
      <c r="A240" s="43" t="s">
        <v>472</v>
      </c>
      <c r="B240" s="15" t="s">
        <v>473</v>
      </c>
      <c r="C240" s="16" t="s">
        <v>87</v>
      </c>
      <c r="D240" s="75" t="str">
        <f>_xlfn.DISPIMG("ID_3906324751C5424EA321CECC69CB2D04",1)</f>
        <v>=DISPIMG("ID_3906324751C5424EA321CECC69CB2D04",1)</v>
      </c>
      <c r="E240" s="18">
        <v>48</v>
      </c>
      <c r="F240" s="46">
        <v>36</v>
      </c>
      <c r="G240" s="66">
        <v>39</v>
      </c>
      <c r="H240" s="47">
        <v>37</v>
      </c>
      <c r="I240" s="19">
        <v>39</v>
      </c>
    </row>
    <row r="241" ht="95" customHeight="1" spans="1:9">
      <c r="A241" s="43" t="s">
        <v>474</v>
      </c>
      <c r="B241" s="15" t="s">
        <v>475</v>
      </c>
      <c r="C241" s="16" t="s">
        <v>87</v>
      </c>
      <c r="D241" s="75" t="str">
        <f>_xlfn.DISPIMG("ID_3C391609751649EAAC7890DE7CF9DE7F",1)</f>
        <v>=DISPIMG("ID_3C391609751649EAAC7890DE7CF9DE7F",1)</v>
      </c>
      <c r="E241" s="18">
        <v>48</v>
      </c>
      <c r="F241" s="46">
        <v>36</v>
      </c>
      <c r="G241" s="66">
        <v>39</v>
      </c>
      <c r="H241" s="47">
        <v>37</v>
      </c>
      <c r="I241" s="19">
        <v>39</v>
      </c>
    </row>
    <row r="242" ht="95" customHeight="1" spans="1:9">
      <c r="A242" s="1" t="s">
        <v>476</v>
      </c>
      <c r="B242" s="13"/>
      <c r="C242" s="13"/>
      <c r="D242" s="13"/>
      <c r="E242" s="13"/>
      <c r="F242" s="13"/>
      <c r="G242" s="14"/>
      <c r="H242" s="13"/>
      <c r="I242" s="13"/>
    </row>
    <row r="243" ht="100.15" customHeight="1" spans="1:9">
      <c r="A243" s="21" t="s">
        <v>477</v>
      </c>
      <c r="B243" s="41" t="s">
        <v>478</v>
      </c>
      <c r="C243" s="16" t="s">
        <v>87</v>
      </c>
      <c r="D243" s="42" t="str">
        <f>_xlfn.DISPIMG("ID_1FD3C8AEE1CC44B499450E0AB8AF3BD8",1)</f>
        <v>=DISPIMG("ID_1FD3C8AEE1CC44B499450E0AB8AF3BD8",1)</v>
      </c>
      <c r="E243" s="18"/>
      <c r="F243" s="19"/>
      <c r="G243" s="50">
        <v>46</v>
      </c>
      <c r="H243" s="22">
        <v>42</v>
      </c>
      <c r="I243" s="19">
        <v>44</v>
      </c>
    </row>
    <row r="244" ht="100.15" customHeight="1" spans="1:9">
      <c r="A244" s="21" t="s">
        <v>479</v>
      </c>
      <c r="B244" s="41" t="s">
        <v>480</v>
      </c>
      <c r="C244" s="16" t="s">
        <v>481</v>
      </c>
      <c r="D244" s="42" t="str">
        <f>_xlfn.DISPIMG("ID_7FFAC57A955B493FBCE84658AC0FFA97",1)</f>
        <v>=DISPIMG("ID_7FFAC57A955B493FBCE84658AC0FFA97",1)</v>
      </c>
      <c r="E244" s="18"/>
      <c r="F244" s="19"/>
      <c r="G244" s="50">
        <v>39</v>
      </c>
      <c r="H244" s="22">
        <v>35</v>
      </c>
      <c r="I244" s="19">
        <v>37</v>
      </c>
    </row>
    <row r="245" ht="100.15" customHeight="1" spans="1:9">
      <c r="A245" s="21" t="s">
        <v>482</v>
      </c>
      <c r="B245" s="41" t="s">
        <v>483</v>
      </c>
      <c r="C245" s="16" t="s">
        <v>481</v>
      </c>
      <c r="D245" s="42" t="str">
        <f>_xlfn.DISPIMG("ID_B7E5CDD3FB91489389845DD3315D0F86",1)</f>
        <v>=DISPIMG("ID_B7E5CDD3FB91489389845DD3315D0F86",1)</v>
      </c>
      <c r="E245" s="18"/>
      <c r="F245" s="19"/>
      <c r="G245" s="50">
        <v>39</v>
      </c>
      <c r="H245" s="22">
        <v>35</v>
      </c>
      <c r="I245" s="19">
        <v>37</v>
      </c>
    </row>
    <row r="246" ht="100.15" customHeight="1" spans="1:9">
      <c r="A246" s="21" t="s">
        <v>484</v>
      </c>
      <c r="B246" s="41" t="s">
        <v>485</v>
      </c>
      <c r="C246" s="16" t="s">
        <v>481</v>
      </c>
      <c r="D246" s="42" t="str">
        <f>_xlfn.DISPIMG("ID_744B464DB7474DD4AF90CE8AE374BE23",1)</f>
        <v>=DISPIMG("ID_744B464DB7474DD4AF90CE8AE374BE23",1)</v>
      </c>
      <c r="E246" s="18"/>
      <c r="F246" s="19"/>
      <c r="G246" s="50">
        <v>39</v>
      </c>
      <c r="H246" s="22">
        <v>35</v>
      </c>
      <c r="I246" s="19">
        <v>37</v>
      </c>
    </row>
    <row r="247" ht="100.15" customHeight="1" spans="1:9">
      <c r="A247" s="21" t="s">
        <v>486</v>
      </c>
      <c r="B247" s="41" t="s">
        <v>487</v>
      </c>
      <c r="C247" s="16" t="s">
        <v>481</v>
      </c>
      <c r="D247" s="42" t="str">
        <f>_xlfn.DISPIMG("ID_92BBF33C76B24DAFA576708E75B48DC2",1)</f>
        <v>=DISPIMG("ID_92BBF33C76B24DAFA576708E75B48DC2",1)</v>
      </c>
      <c r="E247" s="18"/>
      <c r="F247" s="19"/>
      <c r="G247" s="50">
        <v>39</v>
      </c>
      <c r="H247" s="22">
        <v>35</v>
      </c>
      <c r="I247" s="19">
        <v>37</v>
      </c>
    </row>
    <row r="248" ht="100.15" customHeight="1" spans="1:9">
      <c r="A248" s="21" t="s">
        <v>488</v>
      </c>
      <c r="B248" s="41" t="s">
        <v>489</v>
      </c>
      <c r="C248" s="16" t="s">
        <v>79</v>
      </c>
      <c r="D248" s="42" t="str">
        <f>_xlfn.DISPIMG("ID_46FC84856D1749C2B323C1752DF7EF43",1)</f>
        <v>=DISPIMG("ID_46FC84856D1749C2B323C1752DF7EF43",1)</v>
      </c>
      <c r="E248" s="18"/>
      <c r="F248" s="19"/>
      <c r="G248" s="50">
        <v>39</v>
      </c>
      <c r="H248" s="22">
        <v>35</v>
      </c>
      <c r="I248" s="19">
        <v>37</v>
      </c>
    </row>
    <row r="249" ht="100.15" customHeight="1" spans="1:9">
      <c r="A249" s="21" t="s">
        <v>490</v>
      </c>
      <c r="B249" s="41" t="s">
        <v>491</v>
      </c>
      <c r="C249" s="16" t="s">
        <v>79</v>
      </c>
      <c r="D249" s="42" t="str">
        <f>_xlfn.DISPIMG("ID_9FB87234FC6E4226A33DF71EEFE20EAE",1)</f>
        <v>=DISPIMG("ID_9FB87234FC6E4226A33DF71EEFE20EAE",1)</v>
      </c>
      <c r="E249" s="18"/>
      <c r="F249" s="19"/>
      <c r="G249" s="50">
        <v>39</v>
      </c>
      <c r="H249" s="22">
        <v>35</v>
      </c>
      <c r="I249" s="19">
        <v>37</v>
      </c>
    </row>
    <row r="250" ht="100.15" customHeight="1" spans="1:9">
      <c r="A250" s="21" t="s">
        <v>492</v>
      </c>
      <c r="B250" s="41" t="s">
        <v>493</v>
      </c>
      <c r="C250" s="16" t="s">
        <v>79</v>
      </c>
      <c r="D250" s="42" t="str">
        <f>_xlfn.DISPIMG("ID_D3661AA743184B80954D865EEDC9F22B",1)</f>
        <v>=DISPIMG("ID_D3661AA743184B80954D865EEDC9F22B",1)</v>
      </c>
      <c r="E250" s="18"/>
      <c r="F250" s="19"/>
      <c r="G250" s="50">
        <v>42</v>
      </c>
      <c r="H250" s="22">
        <v>38</v>
      </c>
      <c r="I250" s="19">
        <v>40</v>
      </c>
    </row>
    <row r="251" ht="45" customHeight="1" spans="1:9">
      <c r="A251" s="1" t="s">
        <v>494</v>
      </c>
      <c r="B251" s="13"/>
      <c r="C251" s="13"/>
      <c r="D251" s="13"/>
      <c r="E251" s="13"/>
      <c r="F251" s="13"/>
      <c r="G251" s="14"/>
      <c r="H251" s="13"/>
      <c r="I251" s="13"/>
    </row>
    <row r="252" ht="100.15" customHeight="1" spans="1:9">
      <c r="A252" s="21" t="s">
        <v>495</v>
      </c>
      <c r="B252" s="41" t="s">
        <v>496</v>
      </c>
      <c r="C252" s="16" t="s">
        <v>497</v>
      </c>
      <c r="D252" s="42" t="str">
        <f>_xlfn.DISPIMG("ID_46E24B22F9AA4EFA8C48753B92DFF1B6",1)</f>
        <v>=DISPIMG("ID_46E24B22F9AA4EFA8C48753B92DFF1B6",1)</v>
      </c>
      <c r="E252" s="18" t="s">
        <v>494</v>
      </c>
      <c r="F252" s="19"/>
      <c r="G252" s="18">
        <v>10</v>
      </c>
      <c r="H252" s="22">
        <v>8</v>
      </c>
      <c r="I252" s="19">
        <v>10</v>
      </c>
    </row>
    <row r="253" ht="57" customHeight="1" spans="1:9">
      <c r="A253" s="1" t="s">
        <v>498</v>
      </c>
      <c r="B253" s="13"/>
      <c r="C253" s="13"/>
      <c r="D253" s="13"/>
      <c r="E253" s="13"/>
      <c r="F253" s="13"/>
      <c r="G253" s="14"/>
      <c r="H253" s="13"/>
      <c r="I253" s="13"/>
    </row>
    <row r="254" ht="100.15" customHeight="1" spans="1:9">
      <c r="A254" s="21" t="s">
        <v>499</v>
      </c>
      <c r="B254" s="41" t="s">
        <v>500</v>
      </c>
      <c r="C254" s="16" t="s">
        <v>87</v>
      </c>
      <c r="D254" s="42" t="str">
        <f>_xlfn.DISPIMG("ID_9B8BBA968E174D10825A847D9F6C506B",1)</f>
        <v>=DISPIMG("ID_9B8BBA968E174D10825A847D9F6C506B",1)</v>
      </c>
      <c r="E254" s="18" t="s">
        <v>498</v>
      </c>
      <c r="F254" s="19"/>
      <c r="G254" s="18">
        <v>18</v>
      </c>
      <c r="H254" s="22">
        <v>18</v>
      </c>
      <c r="I254" s="19">
        <v>20</v>
      </c>
    </row>
    <row r="255" ht="54" customHeight="1" spans="1:9">
      <c r="A255" s="1" t="s">
        <v>501</v>
      </c>
      <c r="B255" s="13"/>
      <c r="C255" s="13"/>
      <c r="D255" s="13"/>
      <c r="E255" s="13"/>
      <c r="F255" s="13"/>
      <c r="G255" s="14"/>
      <c r="H255" s="13"/>
      <c r="I255" s="13"/>
    </row>
    <row r="256" ht="95" customHeight="1" spans="1:9">
      <c r="A256" s="21" t="s">
        <v>502</v>
      </c>
      <c r="B256" s="15" t="s">
        <v>503</v>
      </c>
      <c r="C256" s="16" t="s">
        <v>383</v>
      </c>
      <c r="D256" s="17" t="str">
        <f>_xlfn.DISPIMG("ID_70715DCD553B4B28A918067F619F1A86",1)</f>
        <v>=DISPIMG("ID_70715DCD553B4B28A918067F619F1A86",1)</v>
      </c>
      <c r="E256" s="18" t="s">
        <v>501</v>
      </c>
      <c r="F256" s="19"/>
      <c r="G256" s="50">
        <v>21</v>
      </c>
      <c r="H256" s="20">
        <v>21</v>
      </c>
      <c r="I256" s="19">
        <v>23</v>
      </c>
    </row>
    <row r="257" ht="95" customHeight="1" spans="1:9">
      <c r="A257" s="21" t="s">
        <v>504</v>
      </c>
      <c r="B257" s="15" t="s">
        <v>75</v>
      </c>
      <c r="C257" s="16" t="s">
        <v>383</v>
      </c>
      <c r="D257" s="17" t="str">
        <f>_xlfn.DISPIMG("ID_C5CB43D5171048F894878439DD93E68B",1)</f>
        <v>=DISPIMG("ID_C5CB43D5171048F894878439DD93E68B",1)</v>
      </c>
      <c r="E257" s="18" t="s">
        <v>501</v>
      </c>
      <c r="F257" s="19"/>
      <c r="G257" s="50">
        <v>21</v>
      </c>
      <c r="H257" s="20">
        <v>21</v>
      </c>
      <c r="I257" s="19">
        <v>23</v>
      </c>
    </row>
    <row r="258" ht="95" customHeight="1" spans="1:9">
      <c r="A258" s="21" t="s">
        <v>505</v>
      </c>
      <c r="B258" s="15" t="s">
        <v>506</v>
      </c>
      <c r="C258" s="16" t="s">
        <v>383</v>
      </c>
      <c r="D258" s="17" t="str">
        <f>_xlfn.DISPIMG("ID_4F81D50272D24D2F81762960218459DE",1)</f>
        <v>=DISPIMG("ID_4F81D50272D24D2F81762960218459DE",1)</v>
      </c>
      <c r="E258" s="18" t="s">
        <v>501</v>
      </c>
      <c r="F258" s="19"/>
      <c r="G258" s="50">
        <v>21</v>
      </c>
      <c r="H258" s="20">
        <v>21</v>
      </c>
      <c r="I258" s="19">
        <v>23</v>
      </c>
    </row>
    <row r="259" ht="95" customHeight="1" spans="1:9">
      <c r="A259" s="1" t="s">
        <v>507</v>
      </c>
      <c r="B259" s="13"/>
      <c r="C259" s="13"/>
      <c r="D259" s="13"/>
      <c r="E259" s="13"/>
      <c r="F259" s="13"/>
      <c r="G259" s="14"/>
      <c r="H259" s="13"/>
      <c r="I259" s="13"/>
    </row>
    <row r="260" ht="99.95" customHeight="1" spans="1:9">
      <c r="A260" s="21" t="s">
        <v>508</v>
      </c>
      <c r="B260" s="41" t="s">
        <v>509</v>
      </c>
      <c r="C260" s="16" t="s">
        <v>323</v>
      </c>
      <c r="D260" s="42" t="str">
        <f>_xlfn.DISPIMG("ID_60E6E8DB3AA147508C97D591951584E3",1)</f>
        <v>=DISPIMG("ID_60E6E8DB3AA147508C97D591951584E3",1)</v>
      </c>
      <c r="E260" s="18">
        <v>24</v>
      </c>
      <c r="F260" s="19"/>
      <c r="G260" s="50">
        <v>40</v>
      </c>
      <c r="H260" s="22">
        <v>40</v>
      </c>
      <c r="I260" s="19">
        <v>42</v>
      </c>
    </row>
    <row r="261" ht="99.95" customHeight="1" spans="1:9">
      <c r="A261" s="21" t="s">
        <v>510</v>
      </c>
      <c r="B261" s="41" t="s">
        <v>511</v>
      </c>
      <c r="C261" s="16" t="s">
        <v>323</v>
      </c>
      <c r="D261" s="42" t="str">
        <f>_xlfn.DISPIMG("ID_961CF0B4E0BC40C683DD7980181FAFC9",1)</f>
        <v>=DISPIMG("ID_961CF0B4E0BC40C683DD7980181FAFC9",1)</v>
      </c>
      <c r="E261" s="18">
        <v>24</v>
      </c>
      <c r="F261" s="19"/>
      <c r="G261" s="50">
        <v>40</v>
      </c>
      <c r="H261" s="22">
        <v>40</v>
      </c>
      <c r="I261" s="19">
        <v>42</v>
      </c>
    </row>
    <row r="262" ht="95" customHeight="1" spans="1:9">
      <c r="A262" s="21" t="s">
        <v>512</v>
      </c>
      <c r="B262" s="15" t="s">
        <v>513</v>
      </c>
      <c r="C262" s="16" t="s">
        <v>83</v>
      </c>
      <c r="D262" s="17" t="str">
        <f>_xlfn.DISPIMG("ID_22DFC8B8E1B741C09009317728B35606",1)</f>
        <v>=DISPIMG("ID_22DFC8B8E1B741C09009317728B35606",1)</v>
      </c>
      <c r="E262" s="18">
        <v>24</v>
      </c>
      <c r="F262" s="19"/>
      <c r="G262" s="50">
        <v>49</v>
      </c>
      <c r="H262" s="20">
        <v>48</v>
      </c>
      <c r="I262" s="19">
        <v>50</v>
      </c>
    </row>
    <row r="263" ht="95" customHeight="1" spans="1:9">
      <c r="A263" s="21" t="s">
        <v>514</v>
      </c>
      <c r="B263" s="15" t="s">
        <v>515</v>
      </c>
      <c r="C263" s="16" t="s">
        <v>83</v>
      </c>
      <c r="D263" s="17" t="str">
        <f>_xlfn.DISPIMG("ID_3663A34DA6464F58BB4D79CC9CF4B296",1)</f>
        <v>=DISPIMG("ID_3663A34DA6464F58BB4D79CC9CF4B296",1)</v>
      </c>
      <c r="E263" s="18">
        <v>90</v>
      </c>
      <c r="F263" s="19"/>
      <c r="G263" s="50">
        <v>29</v>
      </c>
      <c r="H263" s="20">
        <v>27</v>
      </c>
      <c r="I263" s="19">
        <v>29</v>
      </c>
    </row>
    <row r="264" ht="95" customHeight="1" spans="1:9">
      <c r="A264" s="21" t="s">
        <v>516</v>
      </c>
      <c r="B264" s="15" t="s">
        <v>517</v>
      </c>
      <c r="C264" s="16" t="s">
        <v>83</v>
      </c>
      <c r="D264" s="17" t="str">
        <f>_xlfn.DISPIMG("ID_C200C5EE4FA04869B1B58249BFBC1E7F",1)</f>
        <v>=DISPIMG("ID_C200C5EE4FA04869B1B58249BFBC1E7F",1)</v>
      </c>
      <c r="E264" s="18"/>
      <c r="F264" s="19"/>
      <c r="G264" s="50">
        <v>98</v>
      </c>
      <c r="H264" s="20">
        <v>98</v>
      </c>
      <c r="I264" s="19">
        <v>100</v>
      </c>
    </row>
    <row r="265" ht="95" customHeight="1" spans="1:9">
      <c r="A265" s="21" t="s">
        <v>518</v>
      </c>
      <c r="B265" s="15" t="s">
        <v>519</v>
      </c>
      <c r="C265" s="16" t="s">
        <v>83</v>
      </c>
      <c r="D265" s="17" t="str">
        <f>_xlfn.DISPIMG("ID_E425733AB87D4BC983746E3C995782BB",1)</f>
        <v>=DISPIMG("ID_E425733AB87D4BC983746E3C995782BB",1)</v>
      </c>
      <c r="E265" s="18"/>
      <c r="F265" s="19"/>
      <c r="G265" s="50">
        <v>30</v>
      </c>
      <c r="H265" s="20">
        <v>30</v>
      </c>
      <c r="I265" s="19">
        <v>32</v>
      </c>
    </row>
    <row r="266" ht="95" customHeight="1" spans="1:9">
      <c r="A266" s="21" t="s">
        <v>520</v>
      </c>
      <c r="B266" s="15" t="s">
        <v>521</v>
      </c>
      <c r="C266" s="16" t="s">
        <v>83</v>
      </c>
      <c r="D266" s="17" t="str">
        <f>_xlfn.DISPIMG("ID_59CDD91657DE48278B9D19DE421CF52E",1)</f>
        <v>=DISPIMG("ID_59CDD91657DE48278B9D19DE421CF52E",1)</v>
      </c>
      <c r="E266" s="18"/>
      <c r="F266" s="19"/>
      <c r="G266" s="50">
        <v>37</v>
      </c>
      <c r="H266" s="20">
        <v>35</v>
      </c>
      <c r="I266" s="19">
        <v>37</v>
      </c>
    </row>
    <row r="267" ht="95" customHeight="1" spans="1:9">
      <c r="A267" s="21" t="s">
        <v>522</v>
      </c>
      <c r="B267" s="15" t="s">
        <v>523</v>
      </c>
      <c r="C267" s="16" t="s">
        <v>83</v>
      </c>
      <c r="D267" s="17" t="str">
        <f>_xlfn.DISPIMG("ID_E7C67A241A684C9EBF52A6B0F9E809C4",1)</f>
        <v>=DISPIMG("ID_E7C67A241A684C9EBF52A6B0F9E809C4",1)</v>
      </c>
      <c r="E267" s="18"/>
      <c r="F267" s="19"/>
      <c r="G267" s="50">
        <v>58</v>
      </c>
      <c r="H267" s="20">
        <v>35</v>
      </c>
      <c r="I267" s="19">
        <v>37</v>
      </c>
    </row>
    <row r="268" ht="95" customHeight="1" spans="1:9">
      <c r="A268" s="21" t="s">
        <v>524</v>
      </c>
      <c r="B268" s="15" t="s">
        <v>525</v>
      </c>
      <c r="C268" s="16" t="s">
        <v>83</v>
      </c>
      <c r="D268" s="17" t="str">
        <f>_xlfn.DISPIMG("ID_63DA3792C44B4F05BAEC8898F3B50030",1)</f>
        <v>=DISPIMG("ID_63DA3792C44B4F05BAEC8898F3B50030",1)</v>
      </c>
      <c r="E268" s="18"/>
      <c r="F268" s="19"/>
      <c r="G268" s="50">
        <v>58</v>
      </c>
      <c r="H268" s="20">
        <v>58</v>
      </c>
      <c r="I268" s="19">
        <v>60</v>
      </c>
    </row>
    <row r="269" ht="95" customHeight="1" spans="1:9">
      <c r="A269" s="21" t="s">
        <v>526</v>
      </c>
      <c r="B269" s="15" t="s">
        <v>527</v>
      </c>
      <c r="C269" s="16" t="s">
        <v>83</v>
      </c>
      <c r="D269" s="17" t="str">
        <f>_xlfn.DISPIMG("ID_8E23DBC3E5E14AD6BFB6DFFBE6DD8AE1",1)</f>
        <v>=DISPIMG("ID_8E23DBC3E5E14AD6BFB6DFFBE6DD8AE1",1)</v>
      </c>
      <c r="E269" s="18"/>
      <c r="F269" s="19"/>
      <c r="G269" s="50">
        <v>100</v>
      </c>
      <c r="H269" s="20">
        <v>100</v>
      </c>
      <c r="I269" s="19">
        <v>102</v>
      </c>
    </row>
    <row r="270" ht="95" customHeight="1" spans="1:9">
      <c r="A270" s="21" t="s">
        <v>528</v>
      </c>
      <c r="B270" s="15" t="s">
        <v>529</v>
      </c>
      <c r="C270" s="16" t="s">
        <v>83</v>
      </c>
      <c r="D270" s="17" t="str">
        <f>_xlfn.DISPIMG("ID_39F394AA237D4A68961C1953617254FC",1)</f>
        <v>=DISPIMG("ID_39F394AA237D4A68961C1953617254FC",1)</v>
      </c>
      <c r="E270" s="18"/>
      <c r="F270" s="19"/>
      <c r="G270" s="67">
        <v>55</v>
      </c>
      <c r="H270" s="20">
        <v>52</v>
      </c>
      <c r="I270" s="19">
        <v>54</v>
      </c>
    </row>
    <row r="271" ht="95" customHeight="1" spans="1:9">
      <c r="A271" s="1" t="s">
        <v>530</v>
      </c>
      <c r="B271" s="13"/>
      <c r="C271" s="13"/>
      <c r="D271" s="13"/>
      <c r="E271" s="13"/>
      <c r="F271" s="13"/>
      <c r="G271" s="14"/>
      <c r="H271" s="13"/>
      <c r="I271" s="13"/>
    </row>
    <row r="272" ht="100.15" customHeight="1" spans="1:9">
      <c r="A272" s="21" t="s">
        <v>531</v>
      </c>
      <c r="B272" s="41" t="s">
        <v>532</v>
      </c>
      <c r="C272" s="16" t="s">
        <v>87</v>
      </c>
      <c r="D272" s="42" t="str">
        <f>_xlfn.DISPIMG("ID_92A2E9F5AF604C50A684A0D30EF0D895",1)</f>
        <v>=DISPIMG("ID_92A2E9F5AF604C50A684A0D30EF0D895",1)</v>
      </c>
      <c r="E272" s="18"/>
      <c r="F272" s="19"/>
      <c r="G272" s="18">
        <v>30</v>
      </c>
      <c r="H272" s="22">
        <v>29</v>
      </c>
      <c r="I272" s="19">
        <v>31</v>
      </c>
    </row>
    <row r="273" ht="100.15" customHeight="1" spans="1:9">
      <c r="A273" s="1" t="s">
        <v>533</v>
      </c>
      <c r="B273" s="13"/>
      <c r="C273" s="13"/>
      <c r="D273" s="13"/>
      <c r="E273" s="13"/>
      <c r="F273" s="13"/>
      <c r="G273" s="14"/>
      <c r="H273" s="13"/>
      <c r="I273" s="13"/>
    </row>
    <row r="274" ht="95" customHeight="1" spans="1:9">
      <c r="A274" s="21" t="s">
        <v>534</v>
      </c>
      <c r="B274" s="15" t="s">
        <v>535</v>
      </c>
      <c r="C274" s="16" t="s">
        <v>87</v>
      </c>
      <c r="D274" s="17" t="str">
        <f>_xlfn.DISPIMG("ID_26FC0D61636F4D80B27D35D48BD3EB26",1)</f>
        <v>=DISPIMG("ID_26FC0D61636F4D80B27D35D48BD3EB26",1)</v>
      </c>
      <c r="E274" s="18">
        <v>40</v>
      </c>
      <c r="F274" s="19"/>
      <c r="G274" s="18">
        <v>20</v>
      </c>
      <c r="H274" s="20">
        <v>18</v>
      </c>
      <c r="I274" s="19">
        <v>20</v>
      </c>
    </row>
    <row r="275" ht="95" customHeight="1" spans="1:9">
      <c r="A275" s="21" t="s">
        <v>536</v>
      </c>
      <c r="B275" s="15" t="s">
        <v>537</v>
      </c>
      <c r="C275" s="16" t="s">
        <v>87</v>
      </c>
      <c r="D275" s="17" t="str">
        <f>_xlfn.DISPIMG("ID_65987065DFF043AA817185B44E441083",1)</f>
        <v>=DISPIMG("ID_65987065DFF043AA817185B44E441083",1)</v>
      </c>
      <c r="E275" s="18">
        <v>50</v>
      </c>
      <c r="F275" s="19">
        <v>15.5</v>
      </c>
      <c r="G275" s="18">
        <v>19</v>
      </c>
      <c r="H275" s="20">
        <v>17</v>
      </c>
      <c r="I275" s="19">
        <v>19</v>
      </c>
    </row>
    <row r="276" ht="95" customHeight="1" spans="1:9">
      <c r="A276" s="21" t="s">
        <v>538</v>
      </c>
      <c r="B276" s="15" t="s">
        <v>539</v>
      </c>
      <c r="C276" s="16" t="s">
        <v>87</v>
      </c>
      <c r="D276" s="17" t="str">
        <f>_xlfn.DISPIMG("ID_8C50BF743B16420A988C50BC69D583FE",1)</f>
        <v>=DISPIMG("ID_8C50BF743B16420A988C50BC69D583FE",1)</v>
      </c>
      <c r="E276" s="18">
        <v>50</v>
      </c>
      <c r="F276" s="19">
        <v>15.5</v>
      </c>
      <c r="G276" s="18">
        <v>19</v>
      </c>
      <c r="H276" s="20">
        <v>17</v>
      </c>
      <c r="I276" s="19">
        <v>19</v>
      </c>
    </row>
    <row r="277" ht="95" customHeight="1" spans="1:9">
      <c r="A277" s="21" t="s">
        <v>540</v>
      </c>
      <c r="B277" s="15" t="s">
        <v>541</v>
      </c>
      <c r="C277" s="16" t="s">
        <v>87</v>
      </c>
      <c r="D277" s="17" t="str">
        <f>_xlfn.DISPIMG("ID_FB6A9EC74A9F4295B375E668ABC95D91",1)</f>
        <v>=DISPIMG("ID_FB6A9EC74A9F4295B375E668ABC95D91",1)</v>
      </c>
      <c r="E277" s="18">
        <v>40</v>
      </c>
      <c r="F277" s="19">
        <v>20</v>
      </c>
      <c r="G277" s="18">
        <v>23</v>
      </c>
      <c r="H277" s="20">
        <v>21</v>
      </c>
      <c r="I277" s="19">
        <v>23</v>
      </c>
    </row>
    <row r="278" ht="95" customHeight="1" spans="1:9">
      <c r="A278" s="1" t="s">
        <v>542</v>
      </c>
      <c r="B278" s="13"/>
      <c r="C278" s="13"/>
      <c r="D278" s="13"/>
      <c r="E278" s="13"/>
      <c r="F278" s="13"/>
      <c r="G278" s="14"/>
      <c r="H278" s="13"/>
      <c r="I278" s="13"/>
    </row>
    <row r="279" ht="100.15" customHeight="1" spans="1:9">
      <c r="A279" s="21" t="s">
        <v>543</v>
      </c>
      <c r="B279" s="41" t="s">
        <v>544</v>
      </c>
      <c r="C279" s="16" t="s">
        <v>87</v>
      </c>
      <c r="D279" s="42" t="str">
        <f>_xlfn.DISPIMG("ID_E508AC3B966E4EE0A00321310E3C426B",1)</f>
        <v>=DISPIMG("ID_E508AC3B966E4EE0A00321310E3C426B",1)</v>
      </c>
      <c r="E279" s="18">
        <v>80</v>
      </c>
      <c r="F279" s="19">
        <v>35</v>
      </c>
      <c r="G279" s="50">
        <v>38</v>
      </c>
      <c r="H279" s="22">
        <v>37</v>
      </c>
      <c r="I279" s="19">
        <v>39</v>
      </c>
    </row>
    <row r="280" ht="100.15" customHeight="1" spans="1:9">
      <c r="A280" s="21" t="s">
        <v>545</v>
      </c>
      <c r="B280" s="52" t="s">
        <v>546</v>
      </c>
      <c r="C280" s="16" t="s">
        <v>87</v>
      </c>
      <c r="D280" s="42" t="str">
        <f>_xlfn.DISPIMG("ID_D687E53B182B407182765D61F472E323",1)</f>
        <v>=DISPIMG("ID_D687E53B182B407182765D61F472E323",1)</v>
      </c>
      <c r="E280" s="18">
        <v>80</v>
      </c>
      <c r="F280" s="19">
        <v>38</v>
      </c>
      <c r="G280" s="50">
        <v>40</v>
      </c>
      <c r="H280" s="22">
        <v>39</v>
      </c>
      <c r="I280" s="19">
        <v>41</v>
      </c>
    </row>
    <row r="281" ht="100.15" customHeight="1" spans="1:9">
      <c r="A281" s="21" t="s">
        <v>547</v>
      </c>
      <c r="B281" s="52" t="s">
        <v>548</v>
      </c>
      <c r="C281" s="16" t="s">
        <v>87</v>
      </c>
      <c r="D281" s="42" t="str">
        <f>_xlfn.DISPIMG("ID_0A4E4398DB2D42A8BB1745491963BF6E",1)</f>
        <v>=DISPIMG("ID_0A4E4398DB2D42A8BB1745491963BF6E",1)</v>
      </c>
      <c r="E281" s="18">
        <v>80</v>
      </c>
      <c r="F281" s="19">
        <v>34.5</v>
      </c>
      <c r="G281" s="50">
        <v>37</v>
      </c>
      <c r="H281" s="22">
        <v>37</v>
      </c>
      <c r="I281" s="19">
        <v>39</v>
      </c>
    </row>
    <row r="282" ht="100.15" customHeight="1" spans="1:9">
      <c r="A282" s="21" t="s">
        <v>549</v>
      </c>
      <c r="B282" s="52" t="s">
        <v>550</v>
      </c>
      <c r="C282" s="16" t="s">
        <v>87</v>
      </c>
      <c r="D282" s="42" t="str">
        <f>_xlfn.DISPIMG("ID_464EECB89E4C469CB9A62AB1E6758DCA",1)</f>
        <v>=DISPIMG("ID_464EECB89E4C469CB9A62AB1E6758DCA",1)</v>
      </c>
      <c r="E282" s="18">
        <v>30</v>
      </c>
      <c r="F282" s="19">
        <v>27</v>
      </c>
      <c r="G282" s="50">
        <v>29</v>
      </c>
      <c r="H282" s="22">
        <v>28</v>
      </c>
      <c r="I282" s="19">
        <v>30</v>
      </c>
    </row>
    <row r="283" ht="100.15" customHeight="1" spans="1:9">
      <c r="A283" s="21" t="s">
        <v>551</v>
      </c>
      <c r="B283" s="41" t="s">
        <v>552</v>
      </c>
      <c r="C283" s="16" t="s">
        <v>87</v>
      </c>
      <c r="D283" s="42" t="str">
        <f>_xlfn.DISPIMG("ID_92CDA5F74E434425A69E302B2AB57301",1)</f>
        <v>=DISPIMG("ID_92CDA5F74E434425A69E302B2AB57301",1)</v>
      </c>
      <c r="E283" s="18">
        <v>80</v>
      </c>
      <c r="F283" s="19">
        <v>30</v>
      </c>
      <c r="G283" s="77">
        <v>33.5</v>
      </c>
      <c r="H283" s="22">
        <v>32.5</v>
      </c>
      <c r="I283" s="19">
        <v>34.5</v>
      </c>
    </row>
    <row r="284" ht="100.15" customHeight="1" spans="1:9">
      <c r="A284" s="21" t="s">
        <v>553</v>
      </c>
      <c r="B284" s="41" t="s">
        <v>554</v>
      </c>
      <c r="C284" s="16" t="s">
        <v>87</v>
      </c>
      <c r="D284" s="42" t="str">
        <f>_xlfn.DISPIMG("ID_5D4F0C7884DA4B26982105750CE14E2B",1)</f>
        <v>=DISPIMG("ID_5D4F0C7884DA4B26982105750CE14E2B",1)</v>
      </c>
      <c r="E284" s="18">
        <v>80</v>
      </c>
      <c r="F284" s="19">
        <v>35</v>
      </c>
      <c r="G284" s="50">
        <v>38</v>
      </c>
      <c r="H284" s="22">
        <v>38</v>
      </c>
      <c r="I284" s="19">
        <v>40</v>
      </c>
    </row>
    <row r="285" ht="100.15" customHeight="1" spans="1:9">
      <c r="A285" s="21" t="s">
        <v>555</v>
      </c>
      <c r="B285" s="41" t="s">
        <v>556</v>
      </c>
      <c r="C285" s="16" t="s">
        <v>87</v>
      </c>
      <c r="D285" s="42" t="str">
        <f>_xlfn.DISPIMG("ID_13C70E3A99684DCDAE597BDC52F002BD",1)</f>
        <v>=DISPIMG("ID_13C70E3A99684DCDAE597BDC52F002BD",1)</v>
      </c>
      <c r="E285" s="18">
        <v>40</v>
      </c>
      <c r="F285" s="19">
        <v>35.5</v>
      </c>
      <c r="G285" s="50">
        <v>39</v>
      </c>
      <c r="H285" s="22">
        <v>37</v>
      </c>
      <c r="I285" s="19">
        <v>39</v>
      </c>
    </row>
    <row r="286" ht="100.15" customHeight="1" spans="1:9">
      <c r="A286" s="21" t="s">
        <v>557</v>
      </c>
      <c r="B286" s="41" t="s">
        <v>558</v>
      </c>
      <c r="C286" s="16" t="s">
        <v>87</v>
      </c>
      <c r="D286" s="42" t="str">
        <f>_xlfn.DISPIMG("ID_1098CA09867F4862997A6A310C4C269B",1)</f>
        <v>=DISPIMG("ID_1098CA09867F4862997A6A310C4C269B",1)</v>
      </c>
      <c r="E286" s="18">
        <v>100</v>
      </c>
      <c r="F286" s="19">
        <v>30</v>
      </c>
      <c r="G286" s="50">
        <v>36</v>
      </c>
      <c r="H286" s="22">
        <v>35</v>
      </c>
      <c r="I286" s="19">
        <v>37</v>
      </c>
    </row>
    <row r="287" ht="100.15" customHeight="1" spans="1:9">
      <c r="A287" s="21" t="s">
        <v>559</v>
      </c>
      <c r="B287" s="41" t="s">
        <v>560</v>
      </c>
      <c r="C287" s="16" t="s">
        <v>87</v>
      </c>
      <c r="D287" s="42" t="str">
        <f>_xlfn.DISPIMG("ID_640DB6BD7788495F926B87385DBEC823",1)</f>
        <v>=DISPIMG("ID_640DB6BD7788495F926B87385DBEC823",1)</v>
      </c>
      <c r="E287" s="18">
        <v>80</v>
      </c>
      <c r="F287" s="19">
        <v>26</v>
      </c>
      <c r="G287" s="50">
        <v>33</v>
      </c>
      <c r="H287" s="22">
        <v>32</v>
      </c>
      <c r="I287" s="19">
        <v>34</v>
      </c>
    </row>
    <row r="288" ht="100.15" customHeight="1" spans="1:9">
      <c r="A288" s="21" t="s">
        <v>561</v>
      </c>
      <c r="B288" s="41" t="s">
        <v>562</v>
      </c>
      <c r="C288" s="16" t="s">
        <v>87</v>
      </c>
      <c r="D288" s="42" t="str">
        <f>_xlfn.DISPIMG("ID_6B08F631873E436D9CB2C07840F4D963",1)</f>
        <v>=DISPIMG("ID_6B08F631873E436D9CB2C07840F4D963",1)</v>
      </c>
      <c r="E288" s="18">
        <v>50</v>
      </c>
      <c r="F288" s="19">
        <v>27</v>
      </c>
      <c r="G288" s="50">
        <v>30</v>
      </c>
      <c r="H288" s="22">
        <v>29</v>
      </c>
      <c r="I288" s="19">
        <v>31</v>
      </c>
    </row>
    <row r="289" ht="100.15" customHeight="1" spans="1:9">
      <c r="A289" s="21" t="s">
        <v>563</v>
      </c>
      <c r="B289" s="41" t="s">
        <v>564</v>
      </c>
      <c r="C289" s="16" t="s">
        <v>87</v>
      </c>
      <c r="D289" s="42" t="str">
        <f>_xlfn.DISPIMG("ID_B7796124F2F74EEFA595297D4E71EF5E",1)</f>
        <v>=DISPIMG("ID_B7796124F2F74EEFA595297D4E71EF5E",1)</v>
      </c>
      <c r="E289" s="18">
        <v>80</v>
      </c>
      <c r="F289" s="19">
        <v>25</v>
      </c>
      <c r="G289" s="50">
        <v>29</v>
      </c>
      <c r="H289" s="22">
        <v>28</v>
      </c>
      <c r="I289" s="19">
        <v>30</v>
      </c>
    </row>
    <row r="290" ht="100.15" customHeight="1" spans="1:9">
      <c r="A290" s="21" t="s">
        <v>565</v>
      </c>
      <c r="B290" s="41" t="s">
        <v>566</v>
      </c>
      <c r="C290" s="16" t="s">
        <v>87</v>
      </c>
      <c r="D290" s="42" t="str">
        <f>_xlfn.DISPIMG("ID_49BE459339E04A94ABDD74E5F1AC7AA7",1)</f>
        <v>=DISPIMG("ID_49BE459339E04A94ABDD74E5F1AC7AA7",1)</v>
      </c>
      <c r="E290" s="18">
        <v>60</v>
      </c>
      <c r="F290" s="19">
        <v>36</v>
      </c>
      <c r="G290" s="50">
        <v>41</v>
      </c>
      <c r="H290" s="22">
        <v>41</v>
      </c>
      <c r="I290" s="19">
        <v>43</v>
      </c>
    </row>
    <row r="291" ht="100.15" customHeight="1" spans="1:9">
      <c r="A291" s="21" t="s">
        <v>567</v>
      </c>
      <c r="B291" s="41" t="s">
        <v>568</v>
      </c>
      <c r="C291" s="16" t="s">
        <v>87</v>
      </c>
      <c r="D291" s="42" t="str">
        <f>_xlfn.DISPIMG("ID_CFE248DC2ED749C5AA9AA19024ACDBCE",1)</f>
        <v>=DISPIMG("ID_CFE248DC2ED749C5AA9AA19024ACDBCE",1)</v>
      </c>
      <c r="E291" s="18">
        <v>80</v>
      </c>
      <c r="F291" s="19">
        <v>39</v>
      </c>
      <c r="G291" s="50">
        <v>43</v>
      </c>
      <c r="H291" s="22">
        <v>42</v>
      </c>
      <c r="I291" s="19">
        <v>44</v>
      </c>
    </row>
    <row r="292" ht="100.15" customHeight="1" spans="1:9">
      <c r="A292" s="21" t="s">
        <v>569</v>
      </c>
      <c r="B292" s="41" t="s">
        <v>570</v>
      </c>
      <c r="C292" s="16" t="s">
        <v>87</v>
      </c>
      <c r="D292" s="42" t="str">
        <f>_xlfn.DISPIMG("ID_FD448B5EED114654AB03B634147E98BD",1)</f>
        <v>=DISPIMG("ID_FD448B5EED114654AB03B634147E98BD",1)</v>
      </c>
      <c r="E292" s="18">
        <v>40</v>
      </c>
      <c r="F292" s="19">
        <v>38</v>
      </c>
      <c r="G292" s="50">
        <v>42</v>
      </c>
      <c r="H292" s="22">
        <v>40</v>
      </c>
      <c r="I292" s="19">
        <v>42</v>
      </c>
    </row>
    <row r="293" ht="100.15" customHeight="1" spans="1:9">
      <c r="A293" s="21" t="s">
        <v>571</v>
      </c>
      <c r="B293" s="41" t="s">
        <v>572</v>
      </c>
      <c r="C293" s="16" t="s">
        <v>87</v>
      </c>
      <c r="D293" s="42" t="str">
        <f>_xlfn.DISPIMG("ID_0345B273F3C94231857C021E31F31EF0",1)</f>
        <v>=DISPIMG("ID_0345B273F3C94231857C021E31F31EF0",1)</v>
      </c>
      <c r="E293" s="18">
        <v>60</v>
      </c>
      <c r="F293" s="19"/>
      <c r="G293" s="50">
        <v>45</v>
      </c>
      <c r="H293" s="22">
        <v>42</v>
      </c>
      <c r="I293" s="19">
        <v>44</v>
      </c>
    </row>
    <row r="294" ht="100.15" customHeight="1" spans="1:9">
      <c r="A294" s="21" t="s">
        <v>573</v>
      </c>
      <c r="B294" s="41" t="s">
        <v>574</v>
      </c>
      <c r="C294" s="16" t="s">
        <v>87</v>
      </c>
      <c r="D294" s="42" t="str">
        <f>_xlfn.DISPIMG("ID_BBD2598A0B6C4885A910B39BAFE25EC0",1)</f>
        <v>=DISPIMG("ID_BBD2598A0B6C4885A910B39BAFE25EC0",1)</v>
      </c>
      <c r="E294" s="18">
        <v>20</v>
      </c>
      <c r="F294" s="19">
        <v>34</v>
      </c>
      <c r="G294" s="50">
        <v>38</v>
      </c>
      <c r="H294" s="22">
        <v>36</v>
      </c>
      <c r="I294" s="19">
        <v>38</v>
      </c>
    </row>
    <row r="295" ht="100.15" customHeight="1" spans="1:9">
      <c r="A295" s="21" t="s">
        <v>575</v>
      </c>
      <c r="B295" s="41" t="s">
        <v>576</v>
      </c>
      <c r="C295" s="16"/>
      <c r="D295" s="51" t="str">
        <f>_xlfn.DISPIMG("ID_CF7DBDD9B2734C49AD26908E684040F1",1)</f>
        <v>=DISPIMG("ID_CF7DBDD9B2734C49AD26908E684040F1",1)</v>
      </c>
      <c r="E295" s="18">
        <v>20</v>
      </c>
      <c r="F295" s="19">
        <v>36</v>
      </c>
      <c r="G295" s="50">
        <v>40</v>
      </c>
      <c r="H295" s="22">
        <v>38</v>
      </c>
      <c r="I295" s="19">
        <v>40</v>
      </c>
    </row>
    <row r="296" ht="100.15" customHeight="1" spans="1:9">
      <c r="A296" s="21" t="s">
        <v>577</v>
      </c>
      <c r="B296" s="41" t="s">
        <v>578</v>
      </c>
      <c r="C296" s="16" t="s">
        <v>87</v>
      </c>
      <c r="D296" s="42" t="str">
        <f>_xlfn.DISPIMG("ID_42592F8715524D19AE984B99669E2787",1)</f>
        <v>=DISPIMG("ID_42592F8715524D19AE984B99669E2787",1)</v>
      </c>
      <c r="E296" s="18">
        <v>20</v>
      </c>
      <c r="F296" s="19">
        <v>41</v>
      </c>
      <c r="G296" s="50">
        <v>43</v>
      </c>
      <c r="H296" s="22">
        <v>42</v>
      </c>
      <c r="I296" s="19">
        <v>44</v>
      </c>
    </row>
    <row r="297" ht="100.15" customHeight="1" spans="1:9">
      <c r="A297" s="21" t="s">
        <v>579</v>
      </c>
      <c r="B297" s="41" t="s">
        <v>580</v>
      </c>
      <c r="C297" s="16" t="s">
        <v>87</v>
      </c>
      <c r="D297" s="42" t="str">
        <f>_xlfn.DISPIMG("ID_7B1B8F3323BA414BA2BF3E794CBEA527",1)</f>
        <v>=DISPIMG("ID_7B1B8F3323BA414BA2BF3E794CBEA527",1)</v>
      </c>
      <c r="E297" s="18">
        <v>80</v>
      </c>
      <c r="F297" s="19">
        <v>25</v>
      </c>
      <c r="G297" s="50">
        <v>30</v>
      </c>
      <c r="H297" s="22">
        <v>28</v>
      </c>
      <c r="I297" s="19">
        <v>30</v>
      </c>
    </row>
    <row r="298" ht="100.15" customHeight="1" spans="1:9">
      <c r="A298" s="21" t="s">
        <v>581</v>
      </c>
      <c r="B298" s="41" t="s">
        <v>582</v>
      </c>
      <c r="C298" s="16" t="s">
        <v>87</v>
      </c>
      <c r="D298" s="42" t="str">
        <f>_xlfn.DISPIMG("ID_23FE2D1016334E7C816433D2C873A718",1)</f>
        <v>=DISPIMG("ID_23FE2D1016334E7C816433D2C873A718",1)</v>
      </c>
      <c r="E298" s="18">
        <v>80</v>
      </c>
      <c r="F298" s="19"/>
      <c r="G298" s="50">
        <v>43</v>
      </c>
      <c r="H298" s="22">
        <v>41</v>
      </c>
      <c r="I298" s="19">
        <v>43</v>
      </c>
    </row>
    <row r="299" ht="100.15" customHeight="1" spans="1:9">
      <c r="A299" s="21" t="s">
        <v>583</v>
      </c>
      <c r="B299" s="41" t="s">
        <v>584</v>
      </c>
      <c r="C299" s="16" t="s">
        <v>87</v>
      </c>
      <c r="D299" s="42" t="str">
        <f>_xlfn.DISPIMG("ID_AF04D53208C949059D52990612139A41",1)</f>
        <v>=DISPIMG("ID_AF04D53208C949059D52990612139A41",1)</v>
      </c>
      <c r="E299" s="18">
        <v>60</v>
      </c>
      <c r="F299" s="19">
        <v>33</v>
      </c>
      <c r="G299" s="50">
        <v>41</v>
      </c>
      <c r="H299" s="22">
        <v>39</v>
      </c>
      <c r="I299" s="19">
        <v>41</v>
      </c>
    </row>
    <row r="300" ht="100.15" customHeight="1" spans="1:9">
      <c r="A300" s="21" t="s">
        <v>585</v>
      </c>
      <c r="B300" s="41" t="s">
        <v>586</v>
      </c>
      <c r="C300" s="16" t="s">
        <v>87</v>
      </c>
      <c r="D300" s="42" t="str">
        <f>_xlfn.DISPIMG("ID_5FA59620D92C405B980BA93BBF5BB734",1)</f>
        <v>=DISPIMG("ID_5FA59620D92C405B980BA93BBF5BB734",1)</v>
      </c>
      <c r="E300" s="18">
        <v>100</v>
      </c>
      <c r="F300" s="19">
        <v>31</v>
      </c>
      <c r="G300" s="50">
        <v>36</v>
      </c>
      <c r="H300" s="22">
        <v>34</v>
      </c>
      <c r="I300" s="19">
        <v>36</v>
      </c>
    </row>
    <row r="301" ht="100.15" customHeight="1" spans="1:9">
      <c r="A301" s="21" t="s">
        <v>587</v>
      </c>
      <c r="B301" s="41" t="s">
        <v>588</v>
      </c>
      <c r="C301" s="16" t="s">
        <v>87</v>
      </c>
      <c r="D301" s="42" t="str">
        <f>_xlfn.DISPIMG("ID_39B5EE34FB2943C4AE63EBF8D5D32806",1)</f>
        <v>=DISPIMG("ID_39B5EE34FB2943C4AE63EBF8D5D32806",1)</v>
      </c>
      <c r="E301" s="18">
        <v>80</v>
      </c>
      <c r="F301" s="19"/>
      <c r="G301" s="50">
        <v>33</v>
      </c>
      <c r="H301" s="22">
        <v>31</v>
      </c>
      <c r="I301" s="19">
        <v>33</v>
      </c>
    </row>
    <row r="302" ht="100.15" customHeight="1" spans="1:9">
      <c r="A302" s="21" t="s">
        <v>589</v>
      </c>
      <c r="B302" s="41" t="s">
        <v>590</v>
      </c>
      <c r="C302" s="16" t="s">
        <v>87</v>
      </c>
      <c r="D302" s="42" t="str">
        <f>_xlfn.DISPIMG("ID_ADCBA5BAE8CE483B836BB0217BD13F84",1)</f>
        <v>=DISPIMG("ID_ADCBA5BAE8CE483B836BB0217BD13F84",1)</v>
      </c>
      <c r="E302" s="18">
        <v>100</v>
      </c>
      <c r="F302" s="19"/>
      <c r="G302" s="50">
        <v>37</v>
      </c>
      <c r="H302" s="22">
        <v>35</v>
      </c>
      <c r="I302" s="19">
        <v>37</v>
      </c>
    </row>
    <row r="303" ht="100.15" customHeight="1" spans="1:9">
      <c r="A303" s="21" t="s">
        <v>591</v>
      </c>
      <c r="B303" s="41" t="s">
        <v>592</v>
      </c>
      <c r="C303" s="16" t="s">
        <v>87</v>
      </c>
      <c r="D303" s="42" t="str">
        <f>_xlfn.DISPIMG("ID_B67E03BAC74242C99B9A020BF9724BE6",1)</f>
        <v>=DISPIMG("ID_B67E03BAC74242C99B9A020BF9724BE6",1)</v>
      </c>
      <c r="E303" s="18">
        <v>100</v>
      </c>
      <c r="F303" s="19">
        <v>29.5</v>
      </c>
      <c r="G303" s="50">
        <v>33</v>
      </c>
      <c r="H303" s="22">
        <v>31</v>
      </c>
      <c r="I303" s="19">
        <v>33</v>
      </c>
    </row>
    <row r="304" ht="100.15" customHeight="1" spans="1:9">
      <c r="A304" s="21" t="s">
        <v>593</v>
      </c>
      <c r="B304" s="41" t="s">
        <v>594</v>
      </c>
      <c r="C304" s="16" t="s">
        <v>87</v>
      </c>
      <c r="D304" s="42" t="str">
        <f>_xlfn.DISPIMG("ID_5D1B4CAE05E74B5AB8BBC575526599F0",1)</f>
        <v>=DISPIMG("ID_5D1B4CAE05E74B5AB8BBC575526599F0",1)</v>
      </c>
      <c r="E304" s="18">
        <v>100</v>
      </c>
      <c r="F304" s="19"/>
      <c r="G304" s="50">
        <v>41</v>
      </c>
      <c r="H304" s="22">
        <v>39</v>
      </c>
      <c r="I304" s="19">
        <v>41</v>
      </c>
    </row>
    <row r="305" ht="100.15" customHeight="1" spans="1:9">
      <c r="A305" s="21" t="s">
        <v>595</v>
      </c>
      <c r="B305" s="41" t="s">
        <v>596</v>
      </c>
      <c r="C305" s="16" t="s">
        <v>87</v>
      </c>
      <c r="D305" s="42" t="str">
        <f>_xlfn.DISPIMG("ID_E99D63AF23504D7689DEAB85D5154865",1)</f>
        <v>=DISPIMG("ID_E99D63AF23504D7689DEAB85D5154865",1)</v>
      </c>
      <c r="E305" s="18">
        <v>40</v>
      </c>
      <c r="F305" s="19"/>
      <c r="G305" s="50">
        <v>33</v>
      </c>
      <c r="H305" s="22">
        <v>31</v>
      </c>
      <c r="I305" s="19">
        <v>33</v>
      </c>
    </row>
    <row r="306" ht="100.15" customHeight="1" spans="1:9">
      <c r="A306" s="21" t="s">
        <v>597</v>
      </c>
      <c r="B306" s="41" t="s">
        <v>598</v>
      </c>
      <c r="C306" s="16" t="s">
        <v>87</v>
      </c>
      <c r="D306" s="42" t="str">
        <f>_xlfn.DISPIMG("ID_0A25DB927EC5404C90C472790E664B45",1)</f>
        <v>=DISPIMG("ID_0A25DB927EC5404C90C472790E664B45",1)</v>
      </c>
      <c r="E306" s="18">
        <v>100</v>
      </c>
      <c r="F306" s="19"/>
      <c r="G306" s="50">
        <v>38</v>
      </c>
      <c r="H306" s="22">
        <v>36</v>
      </c>
      <c r="I306" s="19">
        <v>38</v>
      </c>
    </row>
    <row r="307" ht="100.15" customHeight="1" spans="1:9">
      <c r="A307" s="21" t="s">
        <v>599</v>
      </c>
      <c r="B307" s="41" t="s">
        <v>600</v>
      </c>
      <c r="C307" s="16" t="s">
        <v>87</v>
      </c>
      <c r="D307" s="42" t="str">
        <f>_xlfn.DISPIMG("ID_1DC1A8ABA4A648B8AA041AEDB091DE0D",1)</f>
        <v>=DISPIMG("ID_1DC1A8ABA4A648B8AA041AEDB091DE0D",1)</v>
      </c>
      <c r="E307" s="18">
        <v>80</v>
      </c>
      <c r="F307" s="19">
        <v>29.5</v>
      </c>
      <c r="G307" s="50">
        <v>33</v>
      </c>
      <c r="H307" s="22">
        <v>31</v>
      </c>
      <c r="I307" s="19">
        <v>33</v>
      </c>
    </row>
    <row r="308" ht="100.15" customHeight="1" spans="1:9">
      <c r="A308" s="21" t="s">
        <v>601</v>
      </c>
      <c r="B308" s="41" t="s">
        <v>602</v>
      </c>
      <c r="C308" s="16" t="s">
        <v>87</v>
      </c>
      <c r="D308" s="51" t="str">
        <f>_xlfn.DISPIMG("ID_20F4C4D4C4F84658B06C43BF73419D05",1)</f>
        <v>=DISPIMG("ID_20F4C4D4C4F84658B06C43BF73419D05",1)</v>
      </c>
      <c r="E308" s="18">
        <v>80</v>
      </c>
      <c r="F308" s="19">
        <v>39</v>
      </c>
      <c r="G308" s="50">
        <v>44</v>
      </c>
      <c r="H308" s="22">
        <v>42</v>
      </c>
      <c r="I308" s="19">
        <v>44</v>
      </c>
    </row>
    <row r="309" ht="100.15" customHeight="1" spans="1:9">
      <c r="A309" s="21" t="s">
        <v>603</v>
      </c>
      <c r="B309" s="41" t="s">
        <v>604</v>
      </c>
      <c r="C309" s="16" t="s">
        <v>87</v>
      </c>
      <c r="D309" s="42" t="str">
        <f>_xlfn.DISPIMG("ID_CF68EB0A5DFE4E09A52C8BA8022CE919",1)</f>
        <v>=DISPIMG("ID_CF68EB0A5DFE4E09A52C8BA8022CE919",1)</v>
      </c>
      <c r="E309" s="18">
        <v>80</v>
      </c>
      <c r="F309" s="19"/>
      <c r="G309" s="50">
        <v>34</v>
      </c>
      <c r="H309" s="22">
        <v>32</v>
      </c>
      <c r="I309" s="19">
        <v>34</v>
      </c>
    </row>
    <row r="310" ht="100.15" customHeight="1" spans="1:9">
      <c r="A310" s="21" t="s">
        <v>605</v>
      </c>
      <c r="B310" s="41" t="s">
        <v>606</v>
      </c>
      <c r="C310" s="16" t="s">
        <v>87</v>
      </c>
      <c r="D310" s="42" t="str">
        <f>_xlfn.DISPIMG("ID_7339C5DD854645908FEBEBB14B303B8E",1)</f>
        <v>=DISPIMG("ID_7339C5DD854645908FEBEBB14B303B8E",1)</v>
      </c>
      <c r="E310" s="18">
        <v>80</v>
      </c>
      <c r="F310" s="19">
        <v>38</v>
      </c>
      <c r="G310" s="50">
        <v>42</v>
      </c>
      <c r="H310" s="22">
        <v>40</v>
      </c>
      <c r="I310" s="19">
        <v>42</v>
      </c>
    </row>
    <row r="311" ht="100.15" customHeight="1" spans="1:9">
      <c r="A311" s="21" t="s">
        <v>607</v>
      </c>
      <c r="B311" s="41" t="s">
        <v>608</v>
      </c>
      <c r="C311" s="16" t="s">
        <v>87</v>
      </c>
      <c r="D311" s="42" t="str">
        <f>_xlfn.DISPIMG("ID_6563DB0217644F69B9D09AC24BEB92D0",1)</f>
        <v>=DISPIMG("ID_6563DB0217644F69B9D09AC24BEB92D0",1)</v>
      </c>
      <c r="E311" s="18">
        <v>50</v>
      </c>
      <c r="F311" s="19"/>
      <c r="G311" s="50">
        <v>47</v>
      </c>
      <c r="H311" s="22">
        <v>45</v>
      </c>
      <c r="I311" s="19">
        <v>47</v>
      </c>
    </row>
    <row r="312" ht="100.15" customHeight="1" spans="1:9">
      <c r="A312" s="21" t="s">
        <v>609</v>
      </c>
      <c r="B312" s="41" t="s">
        <v>610</v>
      </c>
      <c r="C312" s="16" t="s">
        <v>87</v>
      </c>
      <c r="D312" s="42" t="str">
        <f>_xlfn.DISPIMG("ID_858BA7DCA237410382DF2CEE66E53647",1)</f>
        <v>=DISPIMG("ID_858BA7DCA237410382DF2CEE66E53647",1)</v>
      </c>
      <c r="E312" s="18">
        <v>100</v>
      </c>
      <c r="F312" s="19"/>
      <c r="G312" s="50">
        <v>43</v>
      </c>
      <c r="H312" s="22">
        <v>41</v>
      </c>
      <c r="I312" s="19">
        <v>43</v>
      </c>
    </row>
    <row r="313" ht="100.15" customHeight="1" spans="1:9">
      <c r="A313" s="21" t="s">
        <v>611</v>
      </c>
      <c r="B313" s="41" t="s">
        <v>612</v>
      </c>
      <c r="C313" s="16" t="s">
        <v>87</v>
      </c>
      <c r="D313" s="42" t="str">
        <f>_xlfn.DISPIMG("ID_8A1478635F01419582AE964BF96FE790",1)</f>
        <v>=DISPIMG("ID_8A1478635F01419582AE964BF96FE790",1)</v>
      </c>
      <c r="E313" s="18">
        <v>120</v>
      </c>
      <c r="F313" s="19"/>
      <c r="G313" s="77">
        <v>42</v>
      </c>
      <c r="H313" s="22">
        <v>40</v>
      </c>
      <c r="I313" s="19">
        <v>42</v>
      </c>
    </row>
    <row r="314" ht="100.15" customHeight="1" spans="1:9">
      <c r="A314" s="21" t="s">
        <v>613</v>
      </c>
      <c r="B314" s="41" t="s">
        <v>614</v>
      </c>
      <c r="C314" s="16" t="s">
        <v>87</v>
      </c>
      <c r="D314" s="42" t="str">
        <f>_xlfn.DISPIMG("ID_B3F9AADF96D94B1EB0B4B13FC63069A7",1)</f>
        <v>=DISPIMG("ID_B3F9AADF96D94B1EB0B4B13FC63069A7",1)</v>
      </c>
      <c r="E314" s="18">
        <v>100</v>
      </c>
      <c r="F314" s="19"/>
      <c r="G314" s="18">
        <v>24</v>
      </c>
      <c r="H314" s="22">
        <v>22</v>
      </c>
      <c r="I314" s="19">
        <v>24</v>
      </c>
    </row>
    <row r="315" ht="100.15" customHeight="1" spans="1:9">
      <c r="A315" s="21" t="s">
        <v>615</v>
      </c>
      <c r="B315" s="41" t="s">
        <v>616</v>
      </c>
      <c r="C315" s="16" t="s">
        <v>87</v>
      </c>
      <c r="D315" s="42" t="str">
        <f>_xlfn.DISPIMG("ID_CAC7D675D9A744D993BDBAB8D661D3AA",1)</f>
        <v>=DISPIMG("ID_CAC7D675D9A744D993BDBAB8D661D3AA",1)</v>
      </c>
      <c r="E315" s="18">
        <v>80</v>
      </c>
      <c r="F315" s="19"/>
      <c r="G315" s="18">
        <v>31</v>
      </c>
      <c r="H315" s="22">
        <v>29</v>
      </c>
      <c r="I315" s="19">
        <v>31</v>
      </c>
    </row>
    <row r="316" ht="100.15" customHeight="1" spans="1:9">
      <c r="A316" s="21" t="s">
        <v>617</v>
      </c>
      <c r="B316" s="41" t="s">
        <v>618</v>
      </c>
      <c r="C316" s="16" t="s">
        <v>87</v>
      </c>
      <c r="D316" s="42" t="str">
        <f>_xlfn.DISPIMG("ID_E0A746CA3F38454DBFA8EBD8E007A89B",1)</f>
        <v>=DISPIMG("ID_E0A746CA3F38454DBFA8EBD8E007A89B",1)</v>
      </c>
      <c r="E316" s="18">
        <v>100</v>
      </c>
      <c r="F316" s="19"/>
      <c r="G316" s="18">
        <v>38</v>
      </c>
      <c r="H316" s="22">
        <v>36</v>
      </c>
      <c r="I316" s="19">
        <v>38</v>
      </c>
    </row>
    <row r="317" ht="100.15" customHeight="1" spans="1:9">
      <c r="A317" s="21" t="s">
        <v>619</v>
      </c>
      <c r="B317" s="41" t="s">
        <v>620</v>
      </c>
      <c r="C317" s="16" t="s">
        <v>87</v>
      </c>
      <c r="D317" s="42" t="str">
        <f>_xlfn.DISPIMG("ID_EF45A6E0A55548DA835281F120BD44A4",1)</f>
        <v>=DISPIMG("ID_EF45A6E0A55548DA835281F120BD44A4",1)</v>
      </c>
      <c r="E317" s="18">
        <v>60</v>
      </c>
      <c r="F317" s="19"/>
      <c r="G317" s="18">
        <v>31.5</v>
      </c>
      <c r="H317" s="22">
        <v>29.5</v>
      </c>
      <c r="I317" s="19">
        <v>31.5</v>
      </c>
    </row>
    <row r="318" ht="100.15" customHeight="1" spans="1:9">
      <c r="A318" s="21" t="s">
        <v>621</v>
      </c>
      <c r="B318" s="41" t="s">
        <v>622</v>
      </c>
      <c r="C318" s="16" t="s">
        <v>87</v>
      </c>
      <c r="D318" s="42" t="str">
        <f>_xlfn.DISPIMG("ID_269F61812FC94ABF9C1380316DE93301",1)</f>
        <v>=DISPIMG("ID_269F61812FC94ABF9C1380316DE93301",1)</v>
      </c>
      <c r="E318" s="18">
        <v>60</v>
      </c>
      <c r="F318" s="19"/>
      <c r="G318" s="18">
        <v>33</v>
      </c>
      <c r="H318" s="22">
        <v>31</v>
      </c>
      <c r="I318" s="19">
        <v>33</v>
      </c>
    </row>
    <row r="319" ht="60" customHeight="1" spans="1:9">
      <c r="A319" s="21" t="s">
        <v>623</v>
      </c>
      <c r="B319" s="41" t="s">
        <v>624</v>
      </c>
      <c r="C319" s="16"/>
      <c r="D319" s="42" t="str">
        <f>_xlfn.DISPIMG("ID_DBA80ADDE3F843B98FCDE7998A743C6F",1)</f>
        <v>=DISPIMG("ID_DBA80ADDE3F843B98FCDE7998A743C6F",1)</v>
      </c>
      <c r="E319" s="18"/>
      <c r="F319" s="19"/>
      <c r="G319" s="18">
        <f>I319+2</f>
        <v>223</v>
      </c>
      <c r="H319" s="22">
        <v>219</v>
      </c>
      <c r="I319" s="19">
        <v>221</v>
      </c>
    </row>
    <row r="320" ht="60" customHeight="1" spans="1:9">
      <c r="A320" s="21" t="s">
        <v>625</v>
      </c>
      <c r="B320" s="41" t="s">
        <v>626</v>
      </c>
      <c r="C320" s="16"/>
      <c r="D320" s="42" t="str">
        <f>_xlfn.DISPIMG("ID_0589B679E576484BA1208173705974E0",1)</f>
        <v>=DISPIMG("ID_0589B679E576484BA1208173705974E0",1)</v>
      </c>
      <c r="E320" s="18"/>
      <c r="F320" s="19"/>
      <c r="G320" s="18">
        <f t="shared" ref="G320:G363" si="0">I320+2</f>
        <v>484</v>
      </c>
      <c r="H320" s="22">
        <v>480</v>
      </c>
      <c r="I320" s="19">
        <v>482</v>
      </c>
    </row>
    <row r="321" ht="60" customHeight="1" spans="1:9">
      <c r="A321" s="21" t="s">
        <v>627</v>
      </c>
      <c r="B321" s="41" t="s">
        <v>628</v>
      </c>
      <c r="C321" s="16"/>
      <c r="D321" s="42" t="str">
        <f>_xlfn.DISPIMG("ID_DE9E48A3B0BC4983849EB1A787DBB4D2",1)</f>
        <v>=DISPIMG("ID_DE9E48A3B0BC4983849EB1A787DBB4D2",1)</v>
      </c>
      <c r="E321" s="18"/>
      <c r="F321" s="19"/>
      <c r="G321" s="18">
        <f t="shared" si="0"/>
        <v>27</v>
      </c>
      <c r="H321" s="22">
        <v>23</v>
      </c>
      <c r="I321" s="19">
        <v>25</v>
      </c>
    </row>
    <row r="322" ht="60" customHeight="1" spans="1:9">
      <c r="A322" s="21" t="s">
        <v>629</v>
      </c>
      <c r="B322" s="41" t="s">
        <v>630</v>
      </c>
      <c r="C322" s="16"/>
      <c r="D322" s="42" t="str">
        <f>_xlfn.DISPIMG("ID_CB7E75FE1A994400B9646B6D2E734CAD",1)</f>
        <v>=DISPIMG("ID_CB7E75FE1A994400B9646B6D2E734CAD",1)</v>
      </c>
      <c r="E322" s="18"/>
      <c r="F322" s="19"/>
      <c r="G322" s="18">
        <f t="shared" si="0"/>
        <v>40</v>
      </c>
      <c r="H322" s="22">
        <v>36</v>
      </c>
      <c r="I322" s="19">
        <v>38</v>
      </c>
    </row>
    <row r="323" ht="60" customHeight="1" spans="1:9">
      <c r="A323" s="21" t="s">
        <v>631</v>
      </c>
      <c r="B323" s="41" t="s">
        <v>632</v>
      </c>
      <c r="C323" s="16"/>
      <c r="D323" s="42" t="str">
        <f>_xlfn.DISPIMG("ID_E2EEA0DA77104D45816B09E219D3FD6B",1)</f>
        <v>=DISPIMG("ID_E2EEA0DA77104D45816B09E219D3FD6B",1)</v>
      </c>
      <c r="E323" s="18"/>
      <c r="F323" s="19"/>
      <c r="G323" s="18">
        <f t="shared" si="0"/>
        <v>33</v>
      </c>
      <c r="H323" s="22">
        <v>29</v>
      </c>
      <c r="I323" s="19">
        <v>31</v>
      </c>
    </row>
    <row r="324" ht="60" customHeight="1" spans="1:9">
      <c r="A324" s="21" t="s">
        <v>633</v>
      </c>
      <c r="B324" s="41" t="s">
        <v>634</v>
      </c>
      <c r="C324" s="16"/>
      <c r="D324" s="42" t="str">
        <f>_xlfn.DISPIMG("ID_EC00D06E93224ED1B9A78831D79FDB45",1)</f>
        <v>=DISPIMG("ID_EC00D06E93224ED1B9A78831D79FDB45",1)</v>
      </c>
      <c r="E324" s="18"/>
      <c r="F324" s="19"/>
      <c r="G324" s="18">
        <f t="shared" si="0"/>
        <v>13</v>
      </c>
      <c r="H324" s="22">
        <v>8</v>
      </c>
      <c r="I324" s="19">
        <v>11</v>
      </c>
    </row>
    <row r="325" ht="60" customHeight="1" spans="1:9">
      <c r="A325" s="21" t="s">
        <v>635</v>
      </c>
      <c r="B325" s="41" t="s">
        <v>636</v>
      </c>
      <c r="C325" s="16"/>
      <c r="D325" s="42" t="str">
        <f>_xlfn.DISPIMG("ID_FE190E0E56024F638EE4962A879EC7E0",1)</f>
        <v>=DISPIMG("ID_FE190E0E56024F638EE4962A879EC7E0",1)</v>
      </c>
      <c r="E325" s="18"/>
      <c r="F325" s="19"/>
      <c r="G325" s="18">
        <f t="shared" si="0"/>
        <v>47</v>
      </c>
      <c r="H325" s="22">
        <v>43</v>
      </c>
      <c r="I325" s="19">
        <v>45</v>
      </c>
    </row>
    <row r="326" ht="60" customHeight="1" spans="1:9">
      <c r="A326" s="21" t="s">
        <v>637</v>
      </c>
      <c r="B326" s="41" t="s">
        <v>638</v>
      </c>
      <c r="C326" s="16"/>
      <c r="D326" s="42" t="str">
        <f>_xlfn.DISPIMG("ID_4139E23B64E649E4A91C14ABF37B4090",1)</f>
        <v>=DISPIMG("ID_4139E23B64E649E4A91C14ABF37B4090",1)</v>
      </c>
      <c r="E326" s="18"/>
      <c r="F326" s="19"/>
      <c r="G326" s="18">
        <f t="shared" si="0"/>
        <v>44</v>
      </c>
      <c r="H326" s="22">
        <v>40</v>
      </c>
      <c r="I326" s="19">
        <v>42</v>
      </c>
    </row>
    <row r="327" ht="60" customHeight="1" spans="1:9">
      <c r="A327" s="21" t="s">
        <v>639</v>
      </c>
      <c r="B327" s="41" t="s">
        <v>640</v>
      </c>
      <c r="C327" s="16"/>
      <c r="D327" s="42" t="str">
        <f>_xlfn.DISPIMG("ID_D36795F34CB24115BEA1F7562F48C4B4",1)</f>
        <v>=DISPIMG("ID_D36795F34CB24115BEA1F7562F48C4B4",1)</v>
      </c>
      <c r="E327" s="18"/>
      <c r="F327" s="19"/>
      <c r="G327" s="18">
        <f t="shared" si="0"/>
        <v>45</v>
      </c>
      <c r="H327" s="22">
        <v>41</v>
      </c>
      <c r="I327" s="19">
        <v>43</v>
      </c>
    </row>
    <row r="328" ht="60" customHeight="1" spans="1:9">
      <c r="A328" s="21" t="s">
        <v>641</v>
      </c>
      <c r="B328" s="41" t="s">
        <v>642</v>
      </c>
      <c r="C328" s="16"/>
      <c r="D328" s="42" t="str">
        <f>_xlfn.DISPIMG("ID_BCFC144878BA480D93E7314BF8238547",1)</f>
        <v>=DISPIMG("ID_BCFC144878BA480D93E7314BF8238547",1)</v>
      </c>
      <c r="E328" s="18"/>
      <c r="F328" s="19"/>
      <c r="G328" s="18">
        <f t="shared" si="0"/>
        <v>33</v>
      </c>
      <c r="H328" s="22">
        <v>29</v>
      </c>
      <c r="I328" s="19">
        <v>31</v>
      </c>
    </row>
    <row r="329" ht="60" customHeight="1" spans="1:9">
      <c r="A329" s="21" t="s">
        <v>643</v>
      </c>
      <c r="B329" s="41" t="s">
        <v>644</v>
      </c>
      <c r="C329" s="16"/>
      <c r="D329" s="42" t="str">
        <f>_xlfn.DISPIMG("ID_CF425C750DB645D5A22619752F2EC22C",1)</f>
        <v>=DISPIMG("ID_CF425C750DB645D5A22619752F2EC22C",1)</v>
      </c>
      <c r="E329" s="18"/>
      <c r="F329" s="19"/>
      <c r="G329" s="18">
        <f t="shared" si="0"/>
        <v>35</v>
      </c>
      <c r="H329" s="22">
        <v>31</v>
      </c>
      <c r="I329" s="19">
        <v>33</v>
      </c>
    </row>
    <row r="330" ht="60" customHeight="1" spans="1:9">
      <c r="A330" s="21" t="s">
        <v>645</v>
      </c>
      <c r="B330" s="41" t="s">
        <v>646</v>
      </c>
      <c r="C330" s="16"/>
      <c r="D330" s="42" t="str">
        <f>_xlfn.DISPIMG("ID_F610A0DFECC14BEA8DEE192C5285A19A",1)</f>
        <v>=DISPIMG("ID_F610A0DFECC14BEA8DEE192C5285A19A",1)</v>
      </c>
      <c r="E330" s="18"/>
      <c r="F330" s="19"/>
      <c r="G330" s="18">
        <f t="shared" si="0"/>
        <v>21</v>
      </c>
      <c r="H330" s="22">
        <v>17</v>
      </c>
      <c r="I330" s="19">
        <v>19</v>
      </c>
    </row>
    <row r="331" ht="60" customHeight="1" spans="1:9">
      <c r="A331" s="21" t="s">
        <v>647</v>
      </c>
      <c r="B331" s="41" t="s">
        <v>648</v>
      </c>
      <c r="C331" s="16"/>
      <c r="D331" s="42" t="str">
        <f>_xlfn.DISPIMG("ID_4F5EF80E7BE7489B8836202D8EEBBB03",1)</f>
        <v>=DISPIMG("ID_4F5EF80E7BE7489B8836202D8EEBBB03",1)</v>
      </c>
      <c r="E331" s="18"/>
      <c r="F331" s="19"/>
      <c r="G331" s="18">
        <f t="shared" si="0"/>
        <v>32</v>
      </c>
      <c r="H331" s="22">
        <v>28</v>
      </c>
      <c r="I331" s="19">
        <v>30</v>
      </c>
    </row>
    <row r="332" ht="60" customHeight="1" spans="1:9">
      <c r="A332" s="21" t="s">
        <v>649</v>
      </c>
      <c r="B332" s="41" t="s">
        <v>650</v>
      </c>
      <c r="C332" s="16"/>
      <c r="D332" s="42" t="str">
        <f>_xlfn.DISPIMG("ID_C8B113AE11BC4B29BD7C1786880D82FF",1)</f>
        <v>=DISPIMG("ID_C8B113AE11BC4B29BD7C1786880D82FF",1)</v>
      </c>
      <c r="E332" s="18"/>
      <c r="F332" s="19"/>
      <c r="G332" s="18">
        <f t="shared" si="0"/>
        <v>33</v>
      </c>
      <c r="H332" s="22">
        <v>29</v>
      </c>
      <c r="I332" s="19">
        <v>31</v>
      </c>
    </row>
    <row r="333" ht="60" customHeight="1" spans="1:9">
      <c r="A333" s="21" t="s">
        <v>651</v>
      </c>
      <c r="B333" s="41" t="s">
        <v>652</v>
      </c>
      <c r="C333" s="16"/>
      <c r="D333" s="42" t="str">
        <f>_xlfn.DISPIMG("ID_FF59E64077EE4E918CE0E1198540DA08",1)</f>
        <v>=DISPIMG("ID_FF59E64077EE4E918CE0E1198540DA08",1)</v>
      </c>
      <c r="E333" s="18"/>
      <c r="F333" s="19"/>
      <c r="G333" s="18">
        <f t="shared" si="0"/>
        <v>43</v>
      </c>
      <c r="H333" s="22">
        <v>39</v>
      </c>
      <c r="I333" s="19">
        <v>41</v>
      </c>
    </row>
    <row r="334" ht="60" customHeight="1" spans="1:9">
      <c r="A334" s="21" t="s">
        <v>653</v>
      </c>
      <c r="B334" s="41" t="s">
        <v>654</v>
      </c>
      <c r="C334" s="16"/>
      <c r="D334" s="42" t="str">
        <f>_xlfn.DISPIMG("ID_75B87A7142F44D46B24CD8215941967D",1)</f>
        <v>=DISPIMG("ID_75B87A7142F44D46B24CD8215941967D",1)</v>
      </c>
      <c r="E334" s="18"/>
      <c r="F334" s="19"/>
      <c r="G334" s="18">
        <f t="shared" si="0"/>
        <v>30</v>
      </c>
      <c r="H334" s="22">
        <v>26</v>
      </c>
      <c r="I334" s="19">
        <v>28</v>
      </c>
    </row>
    <row r="335" ht="60" customHeight="1" spans="1:9">
      <c r="A335" s="21" t="s">
        <v>655</v>
      </c>
      <c r="B335" s="41" t="s">
        <v>656</v>
      </c>
      <c r="C335" s="16"/>
      <c r="D335" s="42" t="str">
        <f>_xlfn.DISPIMG("ID_FCE7544A371F4651A72E8B56B060C11C",1)</f>
        <v>=DISPIMG("ID_FCE7544A371F4651A72E8B56B060C11C",1)</v>
      </c>
      <c r="E335" s="18"/>
      <c r="F335" s="19"/>
      <c r="G335" s="18">
        <f t="shared" si="0"/>
        <v>35</v>
      </c>
      <c r="H335" s="22">
        <v>31</v>
      </c>
      <c r="I335" s="19">
        <v>33</v>
      </c>
    </row>
    <row r="336" ht="60" customHeight="1" spans="1:9">
      <c r="A336" s="21" t="s">
        <v>657</v>
      </c>
      <c r="B336" s="41" t="s">
        <v>658</v>
      </c>
      <c r="C336" s="16"/>
      <c r="D336" s="42" t="str">
        <f>_xlfn.DISPIMG("ID_7E16094F5B7A45F289B1E32A72101C2F",1)</f>
        <v>=DISPIMG("ID_7E16094F5B7A45F289B1E32A72101C2F",1)</v>
      </c>
      <c r="E336" s="18"/>
      <c r="F336" s="19"/>
      <c r="G336" s="18">
        <f t="shared" si="0"/>
        <v>29</v>
      </c>
      <c r="H336" s="22">
        <v>25</v>
      </c>
      <c r="I336" s="19">
        <v>27</v>
      </c>
    </row>
    <row r="337" ht="60" customHeight="1" spans="1:9">
      <c r="A337" s="21" t="s">
        <v>659</v>
      </c>
      <c r="B337" s="41" t="s">
        <v>660</v>
      </c>
      <c r="C337" s="16"/>
      <c r="D337" s="42" t="str">
        <f>_xlfn.DISPIMG("ID_212A723BD6F74703A1BBC45F2D8BFA54",1)</f>
        <v>=DISPIMG("ID_212A723BD6F74703A1BBC45F2D8BFA54",1)</v>
      </c>
      <c r="E337" s="18"/>
      <c r="F337" s="19"/>
      <c r="G337" s="18">
        <f t="shared" si="0"/>
        <v>40</v>
      </c>
      <c r="H337" s="22">
        <v>36</v>
      </c>
      <c r="I337" s="19">
        <v>38</v>
      </c>
    </row>
    <row r="338" ht="60" customHeight="1" spans="1:9">
      <c r="A338" s="21" t="s">
        <v>661</v>
      </c>
      <c r="B338" s="41" t="s">
        <v>662</v>
      </c>
      <c r="C338" s="16"/>
      <c r="D338" s="42" t="str">
        <f>_xlfn.DISPIMG("ID_4726932478ED4253B712CF86175C3DD0",1)</f>
        <v>=DISPIMG("ID_4726932478ED4253B712CF86175C3DD0",1)</v>
      </c>
      <c r="E338" s="18"/>
      <c r="F338" s="19"/>
      <c r="G338" s="18">
        <f t="shared" si="0"/>
        <v>35</v>
      </c>
      <c r="H338" s="22">
        <v>31</v>
      </c>
      <c r="I338" s="19">
        <v>33</v>
      </c>
    </row>
    <row r="339" ht="60" customHeight="1" spans="1:9">
      <c r="A339" s="21" t="s">
        <v>663</v>
      </c>
      <c r="B339" s="41" t="s">
        <v>664</v>
      </c>
      <c r="C339" s="16"/>
      <c r="D339" s="42" t="str">
        <f>_xlfn.DISPIMG("ID_BD4399FBC1BE44BD86A221834A46ABAB",1)</f>
        <v>=DISPIMG("ID_BD4399FBC1BE44BD86A221834A46ABAB",1)</v>
      </c>
      <c r="E339" s="18"/>
      <c r="F339" s="19"/>
      <c r="G339" s="18">
        <f t="shared" si="0"/>
        <v>33</v>
      </c>
      <c r="H339" s="22">
        <v>29</v>
      </c>
      <c r="I339" s="19">
        <v>31</v>
      </c>
    </row>
    <row r="340" ht="60" customHeight="1" spans="1:9">
      <c r="A340" s="21" t="s">
        <v>665</v>
      </c>
      <c r="B340" s="41" t="s">
        <v>666</v>
      </c>
      <c r="C340" s="16"/>
      <c r="D340" s="42" t="str">
        <f>_xlfn.DISPIMG("ID_2D8F108FB83F46979C74EA16AC6F8AF8",1)</f>
        <v>=DISPIMG("ID_2D8F108FB83F46979C74EA16AC6F8AF8",1)</v>
      </c>
      <c r="E340" s="18"/>
      <c r="F340" s="19"/>
      <c r="G340" s="18">
        <f t="shared" si="0"/>
        <v>13</v>
      </c>
      <c r="H340" s="22">
        <v>9</v>
      </c>
      <c r="I340" s="19">
        <v>11</v>
      </c>
    </row>
    <row r="341" ht="60" customHeight="1" spans="1:9">
      <c r="A341" s="21" t="s">
        <v>667</v>
      </c>
      <c r="B341" s="41" t="s">
        <v>668</v>
      </c>
      <c r="C341" s="16"/>
      <c r="D341" s="42" t="str">
        <f>_xlfn.DISPIMG("ID_305F664B7DDE4ABEA4B032961A695A4B",1)</f>
        <v>=DISPIMG("ID_305F664B7DDE4ABEA4B032961A695A4B",1)</v>
      </c>
      <c r="E341" s="18"/>
      <c r="F341" s="19"/>
      <c r="G341" s="18">
        <f t="shared" si="0"/>
        <v>39</v>
      </c>
      <c r="H341" s="22">
        <v>35</v>
      </c>
      <c r="I341" s="19">
        <v>37</v>
      </c>
    </row>
    <row r="342" ht="60" customHeight="1" spans="1:9">
      <c r="A342" s="21" t="s">
        <v>669</v>
      </c>
      <c r="B342" s="41" t="s">
        <v>670</v>
      </c>
      <c r="C342" s="16"/>
      <c r="D342" s="42" t="str">
        <f>_xlfn.DISPIMG("ID_B4427092D10E4D8EA5EE5C049A6CD8B8",1)</f>
        <v>=DISPIMG("ID_B4427092D10E4D8EA5EE5C049A6CD8B8",1)</v>
      </c>
      <c r="E342" s="18"/>
      <c r="F342" s="19"/>
      <c r="G342" s="18">
        <f t="shared" si="0"/>
        <v>30</v>
      </c>
      <c r="H342" s="22">
        <v>26</v>
      </c>
      <c r="I342" s="19">
        <v>28</v>
      </c>
    </row>
    <row r="343" ht="60" customHeight="1" spans="1:9">
      <c r="A343" s="21" t="s">
        <v>671</v>
      </c>
      <c r="B343" s="41" t="s">
        <v>672</v>
      </c>
      <c r="C343" s="16"/>
      <c r="D343" s="42" t="str">
        <f>_xlfn.DISPIMG("ID_C4F351F20FD74730BEB6FDD0EE27B4B7",1)</f>
        <v>=DISPIMG("ID_C4F351F20FD74730BEB6FDD0EE27B4B7",1)</v>
      </c>
      <c r="E343" s="18"/>
      <c r="F343" s="19"/>
      <c r="G343" s="18">
        <f t="shared" si="0"/>
        <v>31</v>
      </c>
      <c r="H343" s="22">
        <v>27</v>
      </c>
      <c r="I343" s="19">
        <v>29</v>
      </c>
    </row>
    <row r="344" ht="60" customHeight="1" spans="1:9">
      <c r="A344" s="21" t="s">
        <v>673</v>
      </c>
      <c r="B344" s="41" t="s">
        <v>674</v>
      </c>
      <c r="C344" s="16"/>
      <c r="D344" s="42" t="str">
        <f>_xlfn.DISPIMG("ID_C0292CAF89CA4A408A83817480D5AA91",1)</f>
        <v>=DISPIMG("ID_C0292CAF89CA4A408A83817480D5AA91",1)</v>
      </c>
      <c r="E344" s="18"/>
      <c r="F344" s="19"/>
      <c r="G344" s="18">
        <f t="shared" si="0"/>
        <v>30</v>
      </c>
      <c r="H344" s="22">
        <v>26</v>
      </c>
      <c r="I344" s="19">
        <v>28</v>
      </c>
    </row>
    <row r="345" ht="60" customHeight="1" spans="1:9">
      <c r="A345" s="21" t="s">
        <v>675</v>
      </c>
      <c r="B345" s="41" t="s">
        <v>676</v>
      </c>
      <c r="C345" s="16"/>
      <c r="D345" s="42" t="str">
        <f>_xlfn.DISPIMG("ID_945874F581C84A1EB3C6E676F4E7EE41",1)</f>
        <v>=DISPIMG("ID_945874F581C84A1EB3C6E676F4E7EE41",1)</v>
      </c>
      <c r="E345" s="18"/>
      <c r="F345" s="19"/>
      <c r="G345" s="18">
        <f t="shared" si="0"/>
        <v>35</v>
      </c>
      <c r="H345" s="22">
        <v>31</v>
      </c>
      <c r="I345" s="19">
        <v>33</v>
      </c>
    </row>
    <row r="346" ht="60" customHeight="1" spans="1:9">
      <c r="A346" s="21" t="s">
        <v>677</v>
      </c>
      <c r="B346" s="41" t="s">
        <v>678</v>
      </c>
      <c r="C346" s="16"/>
      <c r="D346" s="42" t="str">
        <f>_xlfn.DISPIMG("ID_B2FFB9672D684911B5768E1A388E172A",1)</f>
        <v>=DISPIMG("ID_B2FFB9672D684911B5768E1A388E172A",1)</v>
      </c>
      <c r="E346" s="18"/>
      <c r="F346" s="19"/>
      <c r="G346" s="18">
        <f t="shared" si="0"/>
        <v>26</v>
      </c>
      <c r="H346" s="22">
        <v>22</v>
      </c>
      <c r="I346" s="19">
        <v>24</v>
      </c>
    </row>
    <row r="347" ht="60" customHeight="1" spans="1:9">
      <c r="A347" s="21" t="s">
        <v>679</v>
      </c>
      <c r="B347" s="41" t="s">
        <v>680</v>
      </c>
      <c r="C347" s="16"/>
      <c r="D347" s="42" t="str">
        <f>_xlfn.DISPIMG("ID_73A9CD3960DC452FA45769D633C57450",1)</f>
        <v>=DISPIMG("ID_73A9CD3960DC452FA45769D633C57450",1)</v>
      </c>
      <c r="E347" s="18"/>
      <c r="F347" s="19"/>
      <c r="G347" s="18">
        <f t="shared" si="0"/>
        <v>42</v>
      </c>
      <c r="H347" s="22">
        <v>38</v>
      </c>
      <c r="I347" s="19">
        <v>40</v>
      </c>
    </row>
    <row r="348" ht="60" customHeight="1" spans="1:9">
      <c r="A348" s="21" t="s">
        <v>681</v>
      </c>
      <c r="B348" s="41" t="s">
        <v>682</v>
      </c>
      <c r="C348" s="16"/>
      <c r="D348" s="42" t="str">
        <f>_xlfn.DISPIMG("ID_F5046E7664B14E26A231A5A7865AFEDE",1)</f>
        <v>=DISPIMG("ID_F5046E7664B14E26A231A5A7865AFEDE",1)</v>
      </c>
      <c r="E348" s="18"/>
      <c r="F348" s="19"/>
      <c r="G348" s="18">
        <f t="shared" si="0"/>
        <v>44</v>
      </c>
      <c r="H348" s="22">
        <v>40</v>
      </c>
      <c r="I348" s="19">
        <v>42</v>
      </c>
    </row>
    <row r="349" ht="60" customHeight="1" spans="1:9">
      <c r="A349" s="21" t="s">
        <v>683</v>
      </c>
      <c r="B349" s="41" t="s">
        <v>684</v>
      </c>
      <c r="C349" s="16"/>
      <c r="D349" s="42" t="str">
        <f>_xlfn.DISPIMG("ID_DF3D01D395AC4E60B156BB6A64088FC9",1)</f>
        <v>=DISPIMG("ID_DF3D01D395AC4E60B156BB6A64088FC9",1)</v>
      </c>
      <c r="E349" s="18"/>
      <c r="F349" s="19"/>
      <c r="G349" s="18">
        <f t="shared" si="0"/>
        <v>42</v>
      </c>
      <c r="H349" s="22">
        <v>38</v>
      </c>
      <c r="I349" s="19">
        <v>40</v>
      </c>
    </row>
    <row r="350" ht="60" customHeight="1" spans="1:9">
      <c r="A350" s="21" t="s">
        <v>685</v>
      </c>
      <c r="B350" s="41" t="s">
        <v>686</v>
      </c>
      <c r="C350" s="16"/>
      <c r="D350" s="42" t="str">
        <f>_xlfn.DISPIMG("ID_FCE8465483F34F1691EE614BD9293450",1)</f>
        <v>=DISPIMG("ID_FCE8465483F34F1691EE614BD9293450",1)</v>
      </c>
      <c r="E350" s="18"/>
      <c r="F350" s="19"/>
      <c r="G350" s="18">
        <f t="shared" si="0"/>
        <v>29</v>
      </c>
      <c r="H350" s="22">
        <v>25</v>
      </c>
      <c r="I350" s="19">
        <v>27</v>
      </c>
    </row>
    <row r="351" ht="60" customHeight="1" spans="1:9">
      <c r="A351" s="21" t="s">
        <v>687</v>
      </c>
      <c r="B351" s="41" t="s">
        <v>688</v>
      </c>
      <c r="C351" s="16"/>
      <c r="D351" s="42" t="str">
        <f>_xlfn.DISPIMG("ID_57CFFD355D1449D29E56D22EA7943232",1)</f>
        <v>=DISPIMG("ID_57CFFD355D1449D29E56D22EA7943232",1)</v>
      </c>
      <c r="E351" s="18"/>
      <c r="F351" s="19"/>
      <c r="G351" s="18">
        <f t="shared" si="0"/>
        <v>32</v>
      </c>
      <c r="H351" s="22">
        <v>28</v>
      </c>
      <c r="I351" s="19">
        <v>30</v>
      </c>
    </row>
    <row r="352" ht="60" customHeight="1" spans="1:9">
      <c r="A352" s="21" t="s">
        <v>689</v>
      </c>
      <c r="B352" s="41" t="s">
        <v>690</v>
      </c>
      <c r="C352" s="16"/>
      <c r="D352" s="42" t="str">
        <f>_xlfn.DISPIMG("ID_121AFD51720B4A528CDF2966A5F29100",1)</f>
        <v>=DISPIMG("ID_121AFD51720B4A528CDF2966A5F29100",1)</v>
      </c>
      <c r="E352" s="18"/>
      <c r="F352" s="19"/>
      <c r="G352" s="18">
        <f t="shared" si="0"/>
        <v>52</v>
      </c>
      <c r="H352" s="22">
        <v>48</v>
      </c>
      <c r="I352" s="19">
        <v>50</v>
      </c>
    </row>
    <row r="353" ht="60" customHeight="1" spans="1:9">
      <c r="A353" s="21" t="s">
        <v>691</v>
      </c>
      <c r="B353" s="41" t="s">
        <v>692</v>
      </c>
      <c r="C353" s="16"/>
      <c r="D353" s="42" t="str">
        <f>_xlfn.DISPIMG("ID_85BAF55116EB44AFAA1B1072905D55A7",1)</f>
        <v>=DISPIMG("ID_85BAF55116EB44AFAA1B1072905D55A7",1)</v>
      </c>
      <c r="E353" s="18"/>
      <c r="F353" s="19"/>
      <c r="G353" s="18">
        <f t="shared" si="0"/>
        <v>36</v>
      </c>
      <c r="H353" s="22">
        <v>32</v>
      </c>
      <c r="I353" s="19">
        <v>34</v>
      </c>
    </row>
    <row r="354" ht="60" customHeight="1" spans="1:9">
      <c r="A354" s="21" t="s">
        <v>693</v>
      </c>
      <c r="B354" s="41" t="s">
        <v>694</v>
      </c>
      <c r="C354" s="16"/>
      <c r="D354" s="42" t="str">
        <f>_xlfn.DISPIMG("ID_EBAF97BCAF23466E8A34D419E84A7398",1)</f>
        <v>=DISPIMG("ID_EBAF97BCAF23466E8A34D419E84A7398",1)</v>
      </c>
      <c r="E354" s="18"/>
      <c r="F354" s="19"/>
      <c r="G354" s="18">
        <f t="shared" si="0"/>
        <v>35</v>
      </c>
      <c r="H354" s="22">
        <v>31</v>
      </c>
      <c r="I354" s="19">
        <v>33</v>
      </c>
    </row>
    <row r="355" ht="60" customHeight="1" spans="1:9">
      <c r="A355" s="21" t="s">
        <v>695</v>
      </c>
      <c r="B355" s="41" t="s">
        <v>696</v>
      </c>
      <c r="C355" s="16"/>
      <c r="D355" s="42" t="str">
        <f>_xlfn.DISPIMG("ID_5CD69C3734A3435B92EB73E326C5D773",1)</f>
        <v>=DISPIMG("ID_5CD69C3734A3435B92EB73E326C5D773",1)</v>
      </c>
      <c r="E355" s="18"/>
      <c r="F355" s="19"/>
      <c r="G355" s="18">
        <f t="shared" si="0"/>
        <v>33</v>
      </c>
      <c r="H355" s="22">
        <v>29</v>
      </c>
      <c r="I355" s="19">
        <v>31</v>
      </c>
    </row>
    <row r="356" ht="60" customHeight="1" spans="1:9">
      <c r="A356" s="21" t="s">
        <v>697</v>
      </c>
      <c r="B356" s="41" t="s">
        <v>698</v>
      </c>
      <c r="C356" s="16"/>
      <c r="D356" s="42" t="str">
        <f>_xlfn.DISPIMG("ID_1CB683881A3B4BBA922A467D96EA9D10",1)</f>
        <v>=DISPIMG("ID_1CB683881A3B4BBA922A467D96EA9D10",1)</v>
      </c>
      <c r="E356" s="18"/>
      <c r="F356" s="19"/>
      <c r="G356" s="18">
        <f t="shared" si="0"/>
        <v>31</v>
      </c>
      <c r="H356" s="22">
        <v>27</v>
      </c>
      <c r="I356" s="19">
        <v>29</v>
      </c>
    </row>
    <row r="357" ht="60" customHeight="1" spans="1:9">
      <c r="A357" s="21" t="s">
        <v>699</v>
      </c>
      <c r="B357" s="41" t="s">
        <v>700</v>
      </c>
      <c r="C357" s="16"/>
      <c r="D357" s="42" t="str">
        <f>_xlfn.DISPIMG("ID_9FF246210F9F4A609E4F965C8B2DFA8C",1)</f>
        <v>=DISPIMG("ID_9FF246210F9F4A609E4F965C8B2DFA8C",1)</v>
      </c>
      <c r="E357" s="18"/>
      <c r="F357" s="19"/>
      <c r="G357" s="18">
        <f t="shared" si="0"/>
        <v>11</v>
      </c>
      <c r="H357" s="22">
        <v>7</v>
      </c>
      <c r="I357" s="19">
        <v>9</v>
      </c>
    </row>
    <row r="358" ht="60" customHeight="1" spans="1:9">
      <c r="A358" s="21" t="s">
        <v>701</v>
      </c>
      <c r="B358" s="41" t="s">
        <v>702</v>
      </c>
      <c r="C358" s="16"/>
      <c r="D358" s="42" t="str">
        <f>_xlfn.DISPIMG("ID_E93130E9D95F4BF9AA6B9E4631C4AAAF",1)</f>
        <v>=DISPIMG("ID_E93130E9D95F4BF9AA6B9E4631C4AAAF",1)</v>
      </c>
      <c r="E358" s="18"/>
      <c r="F358" s="19"/>
      <c r="G358" s="18">
        <f t="shared" si="0"/>
        <v>42</v>
      </c>
      <c r="H358" s="22">
        <v>38</v>
      </c>
      <c r="I358" s="19">
        <v>40</v>
      </c>
    </row>
    <row r="359" ht="60" customHeight="1" spans="1:9">
      <c r="A359" s="21" t="s">
        <v>703</v>
      </c>
      <c r="B359" s="41" t="s">
        <v>704</v>
      </c>
      <c r="C359" s="16"/>
      <c r="D359" s="42" t="str">
        <f>_xlfn.DISPIMG("ID_A6631921AAD649B79A98AA9670B80C95",1)</f>
        <v>=DISPIMG("ID_A6631921AAD649B79A98AA9670B80C95",1)</v>
      </c>
      <c r="E359" s="18"/>
      <c r="F359" s="19"/>
      <c r="G359" s="18">
        <f t="shared" si="0"/>
        <v>36</v>
      </c>
      <c r="H359" s="22">
        <v>32</v>
      </c>
      <c r="I359" s="19">
        <v>34</v>
      </c>
    </row>
    <row r="360" ht="60" customHeight="1" spans="1:9">
      <c r="A360" s="21" t="s">
        <v>705</v>
      </c>
      <c r="B360" s="41" t="s">
        <v>706</v>
      </c>
      <c r="C360" s="16"/>
      <c r="D360" s="42" t="str">
        <f>_xlfn.DISPIMG("ID_45524E2643034EF9BEFFBAB921A49D57",1)</f>
        <v>=DISPIMG("ID_45524E2643034EF9BEFFBAB921A49D57",1)</v>
      </c>
      <c r="E360" s="18"/>
      <c r="F360" s="19"/>
      <c r="G360" s="18">
        <f t="shared" si="0"/>
        <v>39</v>
      </c>
      <c r="H360" s="22">
        <v>35</v>
      </c>
      <c r="I360" s="19">
        <v>37</v>
      </c>
    </row>
    <row r="361" ht="100.15" customHeight="1" spans="1:9">
      <c r="A361" s="1" t="s">
        <v>707</v>
      </c>
      <c r="B361" s="78"/>
      <c r="C361" s="78"/>
      <c r="D361" s="78"/>
      <c r="E361" s="78"/>
      <c r="F361" s="79"/>
      <c r="G361" s="79"/>
      <c r="H361" s="79"/>
      <c r="I361" s="79"/>
    </row>
    <row r="362" ht="95" customHeight="1" spans="1:9">
      <c r="A362" s="21" t="s">
        <v>708</v>
      </c>
      <c r="B362" s="15" t="s">
        <v>709</v>
      </c>
      <c r="C362" s="16" t="s">
        <v>349</v>
      </c>
      <c r="D362" s="17" t="str">
        <f>_xlfn.DISPIMG("ID_26DF4A8DB3F94C94AF6A1616D4676BD4",1)</f>
        <v>=DISPIMG("ID_26DF4A8DB3F94C94AF6A1616D4676BD4",1)</v>
      </c>
      <c r="E362" s="18"/>
      <c r="F362" s="19"/>
      <c r="G362" s="18">
        <f t="shared" si="0"/>
        <v>31</v>
      </c>
      <c r="H362" s="20">
        <v>27</v>
      </c>
      <c r="I362" s="19">
        <v>29</v>
      </c>
    </row>
    <row r="363" ht="95" customHeight="1" spans="1:9">
      <c r="A363" s="1" t="s">
        <v>710</v>
      </c>
      <c r="B363" s="13"/>
      <c r="C363" s="13"/>
      <c r="D363" s="13"/>
      <c r="E363" s="13"/>
      <c r="F363" s="13"/>
      <c r="G363" s="13"/>
      <c r="H363" s="13"/>
      <c r="I363" s="13"/>
    </row>
    <row r="364" ht="95" customHeight="1" spans="1:9">
      <c r="A364" s="21" t="s">
        <v>711</v>
      </c>
      <c r="B364" s="15" t="s">
        <v>712</v>
      </c>
      <c r="C364" s="16" t="s">
        <v>87</v>
      </c>
      <c r="D364" s="17" t="str">
        <f>_xlfn.DISPIMG("ID_5F42A13B56824FA6B765B072A293CAC0",1)</f>
        <v>=DISPIMG("ID_5F42A13B56824FA6B765B072A293CAC0",1)</v>
      </c>
      <c r="E364" s="18"/>
      <c r="F364" s="19"/>
      <c r="G364" s="18">
        <v>30</v>
      </c>
      <c r="H364" s="20">
        <v>30</v>
      </c>
      <c r="I364" s="19">
        <v>32</v>
      </c>
    </row>
    <row r="365" ht="95" customHeight="1" spans="1:9">
      <c r="A365" s="23" t="s">
        <v>713</v>
      </c>
      <c r="B365" s="24" t="s">
        <v>714</v>
      </c>
      <c r="C365" s="25" t="s">
        <v>87</v>
      </c>
      <c r="D365" s="26" t="str">
        <f>_xlfn.DISPIMG("ID_CE3D61C83825483582094C903C851D9E",1)</f>
        <v>=DISPIMG("ID_CE3D61C83825483582094C903C851D9E",1)</v>
      </c>
      <c r="E365" s="27"/>
      <c r="F365" s="28">
        <v>24</v>
      </c>
      <c r="G365" s="18">
        <v>30</v>
      </c>
      <c r="H365" s="54">
        <v>30</v>
      </c>
      <c r="I365" s="19">
        <v>32</v>
      </c>
    </row>
    <row r="366" ht="57" customHeight="1" spans="1:9">
      <c r="A366" s="1" t="s">
        <v>715</v>
      </c>
      <c r="B366" s="13"/>
      <c r="C366" s="13"/>
      <c r="D366" s="13"/>
      <c r="E366" s="13"/>
      <c r="F366" s="13"/>
      <c r="G366" s="14"/>
      <c r="H366" s="13"/>
      <c r="I366" s="13"/>
    </row>
    <row r="367" ht="100.15" customHeight="1" spans="1:9">
      <c r="A367" s="34" t="s">
        <v>716</v>
      </c>
      <c r="B367" s="80" t="s">
        <v>717</v>
      </c>
      <c r="C367" s="36" t="s">
        <v>87</v>
      </c>
      <c r="D367" s="81" t="str">
        <f>_xlfn.DISPIMG("ID_7751FD7B0FE14C7F8B216BC50DCDBD69",1)</f>
        <v>=DISPIMG("ID_7751FD7B0FE14C7F8B216BC50DCDBD69",1)</v>
      </c>
      <c r="E367" s="38">
        <v>60</v>
      </c>
      <c r="F367" s="39"/>
      <c r="G367" s="18">
        <v>26</v>
      </c>
      <c r="H367" s="40">
        <v>26</v>
      </c>
      <c r="I367" s="19">
        <v>28</v>
      </c>
    </row>
    <row r="368" ht="100.15" customHeight="1" spans="1:9">
      <c r="A368" s="34" t="s">
        <v>718</v>
      </c>
      <c r="B368" s="80" t="s">
        <v>719</v>
      </c>
      <c r="C368" s="36" t="s">
        <v>87</v>
      </c>
      <c r="D368" s="81" t="str">
        <f>_xlfn.DISPIMG("ID_E6E9F98357C543F6B987976E5DC4540F",1)</f>
        <v>=DISPIMG("ID_E6E9F98357C543F6B987976E5DC4540F",1)</v>
      </c>
      <c r="E368" s="38"/>
      <c r="F368" s="39">
        <v>15</v>
      </c>
      <c r="G368" s="18">
        <v>30</v>
      </c>
      <c r="H368" s="40">
        <v>30</v>
      </c>
      <c r="I368" s="19">
        <v>32</v>
      </c>
    </row>
    <row r="369" ht="100.15" customHeight="1" spans="1:9">
      <c r="A369" s="34" t="s">
        <v>720</v>
      </c>
      <c r="B369" s="80" t="s">
        <v>721</v>
      </c>
      <c r="C369" s="36" t="s">
        <v>87</v>
      </c>
      <c r="D369" s="81" t="str">
        <f>_xlfn.DISPIMG("ID_C9A7F371841744EB8554E459C8430225",1)</f>
        <v>=DISPIMG("ID_C9A7F371841744EB8554E459C8430225",1)</v>
      </c>
      <c r="E369" s="38">
        <v>45</v>
      </c>
      <c r="F369" s="39">
        <v>28.5</v>
      </c>
      <c r="G369" s="18">
        <v>30</v>
      </c>
      <c r="H369" s="40">
        <v>30</v>
      </c>
      <c r="I369" s="19">
        <v>32</v>
      </c>
    </row>
    <row r="370" ht="100.15" customHeight="1" spans="1:9">
      <c r="A370" s="34" t="s">
        <v>722</v>
      </c>
      <c r="B370" s="80" t="s">
        <v>723</v>
      </c>
      <c r="C370" s="36" t="s">
        <v>87</v>
      </c>
      <c r="D370" s="81" t="str">
        <f>_xlfn.DISPIMG("ID_67F0C4B90FF74D3EBC0EF858F3B18B6D",1)</f>
        <v>=DISPIMG("ID_67F0C4B90FF74D3EBC0EF858F3B18B6D",1)</v>
      </c>
      <c r="E370" s="38">
        <v>100</v>
      </c>
      <c r="F370" s="39">
        <v>25</v>
      </c>
      <c r="G370" s="18">
        <v>32</v>
      </c>
      <c r="H370" s="40">
        <v>32</v>
      </c>
      <c r="I370" s="19">
        <v>34</v>
      </c>
    </row>
    <row r="371" ht="100.15" customHeight="1" spans="1:9">
      <c r="A371" s="34" t="s">
        <v>724</v>
      </c>
      <c r="B371" s="80" t="s">
        <v>725</v>
      </c>
      <c r="C371" s="36" t="s">
        <v>87</v>
      </c>
      <c r="D371" s="81" t="str">
        <f>_xlfn.DISPIMG("ID_C0C7E5313C2C4650B7716208E9522965",1)</f>
        <v>=DISPIMG("ID_C0C7E5313C2C4650B7716208E9522965",1)</v>
      </c>
      <c r="E371" s="38">
        <v>60</v>
      </c>
      <c r="F371" s="39">
        <v>35</v>
      </c>
      <c r="G371" s="18">
        <v>43</v>
      </c>
      <c r="H371" s="40">
        <v>43</v>
      </c>
      <c r="I371" s="19">
        <v>45</v>
      </c>
    </row>
    <row r="372" ht="100.15" customHeight="1" spans="1:9">
      <c r="A372" s="34" t="s">
        <v>726</v>
      </c>
      <c r="B372" s="80" t="s">
        <v>727</v>
      </c>
      <c r="C372" s="36" t="s">
        <v>87</v>
      </c>
      <c r="D372" s="81" t="str">
        <f>_xlfn.DISPIMG("ID_BC294B54E26D4967B71E67EF86E655EB",1)</f>
        <v>=DISPIMG("ID_BC294B54E26D4967B71E67EF86E655EB",1)</v>
      </c>
      <c r="E372" s="38">
        <v>60</v>
      </c>
      <c r="F372" s="39">
        <v>33</v>
      </c>
      <c r="G372" s="18">
        <v>35</v>
      </c>
      <c r="H372" s="40">
        <v>35</v>
      </c>
      <c r="I372" s="19">
        <v>37</v>
      </c>
    </row>
    <row r="373" ht="100.15" customHeight="1" spans="1:9">
      <c r="A373" s="34" t="s">
        <v>728</v>
      </c>
      <c r="B373" s="80" t="s">
        <v>729</v>
      </c>
      <c r="C373" s="36" t="s">
        <v>87</v>
      </c>
      <c r="D373" s="81" t="str">
        <f>_xlfn.DISPIMG("ID_A106F211052B4A82BFCBF3E66A720F2E",1)</f>
        <v>=DISPIMG("ID_A106F211052B4A82BFCBF3E66A720F2E",1)</v>
      </c>
      <c r="E373" s="38">
        <v>48</v>
      </c>
      <c r="F373" s="39">
        <v>18</v>
      </c>
      <c r="G373" s="18">
        <v>21</v>
      </c>
      <c r="H373" s="40">
        <v>21</v>
      </c>
      <c r="I373" s="19">
        <v>23</v>
      </c>
    </row>
    <row r="374" ht="100.15" customHeight="1" spans="1:9">
      <c r="A374" s="34" t="s">
        <v>730</v>
      </c>
      <c r="B374" s="80" t="s">
        <v>731</v>
      </c>
      <c r="C374" s="36" t="s">
        <v>87</v>
      </c>
      <c r="D374" s="81" t="str">
        <f>_xlfn.DISPIMG("ID_3274A10503D5437098A32BA8A1E2D3FD",1)</f>
        <v>=DISPIMG("ID_3274A10503D5437098A32BA8A1E2D3FD",1)</v>
      </c>
      <c r="E374" s="38">
        <v>50</v>
      </c>
      <c r="F374" s="39">
        <v>32</v>
      </c>
      <c r="G374" s="18">
        <v>35</v>
      </c>
      <c r="H374" s="40">
        <v>35</v>
      </c>
      <c r="I374" s="19">
        <v>37</v>
      </c>
    </row>
    <row r="375" ht="100.15" customHeight="1" spans="1:9">
      <c r="A375" s="34" t="s">
        <v>732</v>
      </c>
      <c r="B375" s="80" t="s">
        <v>733</v>
      </c>
      <c r="C375" s="36" t="s">
        <v>87</v>
      </c>
      <c r="D375" s="81" t="str">
        <f>_xlfn.DISPIMG("ID_1A21E3D20EE34E42B9283823EE553A58",1)</f>
        <v>=DISPIMG("ID_1A21E3D20EE34E42B9283823EE553A58",1)</v>
      </c>
      <c r="E375" s="38">
        <v>50</v>
      </c>
      <c r="F375" s="39">
        <v>31</v>
      </c>
      <c r="G375" s="18">
        <v>34</v>
      </c>
      <c r="H375" s="40">
        <v>34</v>
      </c>
      <c r="I375" s="19">
        <v>36</v>
      </c>
    </row>
    <row r="376" ht="100.15" customHeight="1" spans="1:9">
      <c r="A376" s="34" t="s">
        <v>734</v>
      </c>
      <c r="B376" s="80" t="s">
        <v>735</v>
      </c>
      <c r="C376" s="36" t="s">
        <v>87</v>
      </c>
      <c r="D376" s="81" t="str">
        <f>_xlfn.DISPIMG("ID_C59EA8DEAE694F9C9B04F5F65F3FFC5C",1)</f>
        <v>=DISPIMG("ID_C59EA8DEAE694F9C9B04F5F65F3FFC5C",1)</v>
      </c>
      <c r="E376" s="38">
        <v>50</v>
      </c>
      <c r="F376" s="39">
        <v>33</v>
      </c>
      <c r="G376" s="18">
        <v>36</v>
      </c>
      <c r="H376" s="40">
        <v>36</v>
      </c>
      <c r="I376" s="19">
        <v>38</v>
      </c>
    </row>
    <row r="377" ht="100.15" customHeight="1" spans="1:9">
      <c r="A377" s="34" t="s">
        <v>736</v>
      </c>
      <c r="B377" s="80" t="s">
        <v>737</v>
      </c>
      <c r="C377" s="36" t="s">
        <v>87</v>
      </c>
      <c r="D377" s="81" t="str">
        <f>_xlfn.DISPIMG("ID_7A5D3BBB0E604CA7BE7197251BDC8F25",1)</f>
        <v>=DISPIMG("ID_7A5D3BBB0E604CA7BE7197251BDC8F25",1)</v>
      </c>
      <c r="E377" s="38">
        <v>60</v>
      </c>
      <c r="F377" s="39">
        <v>33</v>
      </c>
      <c r="G377" s="18">
        <v>36</v>
      </c>
      <c r="H377" s="40">
        <v>36</v>
      </c>
      <c r="I377" s="19">
        <v>38</v>
      </c>
    </row>
    <row r="378" ht="100.15" customHeight="1" spans="1:9">
      <c r="A378" s="34" t="s">
        <v>738</v>
      </c>
      <c r="B378" s="80" t="s">
        <v>739</v>
      </c>
      <c r="C378" s="36" t="s">
        <v>87</v>
      </c>
      <c r="D378" s="81" t="str">
        <f>_xlfn.DISPIMG("ID_64379CEE02F844AD8417C46B0C0C1938",1)</f>
        <v>=DISPIMG("ID_64379CEE02F844AD8417C46B0C0C1938",1)</v>
      </c>
      <c r="E378" s="38">
        <v>60</v>
      </c>
      <c r="F378" s="39">
        <v>33</v>
      </c>
      <c r="G378" s="18">
        <v>36</v>
      </c>
      <c r="H378" s="40">
        <v>36</v>
      </c>
      <c r="I378" s="19">
        <v>38</v>
      </c>
    </row>
    <row r="379" ht="100.15" customHeight="1" spans="1:9">
      <c r="A379" s="34" t="s">
        <v>740</v>
      </c>
      <c r="B379" s="80" t="s">
        <v>741</v>
      </c>
      <c r="C379" s="36" t="s">
        <v>87</v>
      </c>
      <c r="D379" s="81" t="str">
        <f>_xlfn.DISPIMG("ID_C6BCBCF1759D4775A805EBA2E1413AEB",1)</f>
        <v>=DISPIMG("ID_C6BCBCF1759D4775A805EBA2E1413AEB",1)</v>
      </c>
      <c r="E379" s="38">
        <v>100</v>
      </c>
      <c r="F379" s="39">
        <v>31</v>
      </c>
      <c r="G379" s="18">
        <v>32.5</v>
      </c>
      <c r="H379" s="40">
        <v>32.5</v>
      </c>
      <c r="I379" s="19">
        <v>34.5</v>
      </c>
    </row>
    <row r="380" ht="100.15" customHeight="1" spans="1:9">
      <c r="A380" s="34" t="s">
        <v>742</v>
      </c>
      <c r="B380" s="80" t="s">
        <v>743</v>
      </c>
      <c r="C380" s="36" t="s">
        <v>87</v>
      </c>
      <c r="D380" s="81" t="str">
        <f>_xlfn.DISPIMG("ID_2A36F6F46F544ACC9AF9F0DA75265A60",1)</f>
        <v>=DISPIMG("ID_2A36F6F46F544ACC9AF9F0DA75265A60",1)</v>
      </c>
      <c r="E380" s="38"/>
      <c r="F380" s="39">
        <v>34</v>
      </c>
      <c r="G380" s="18">
        <v>37</v>
      </c>
      <c r="H380" s="40">
        <v>37</v>
      </c>
      <c r="I380" s="19">
        <v>39</v>
      </c>
    </row>
    <row r="381" ht="100.15" customHeight="1" spans="1:9">
      <c r="A381" s="34" t="s">
        <v>744</v>
      </c>
      <c r="B381" s="80" t="s">
        <v>745</v>
      </c>
      <c r="C381" s="36" t="s">
        <v>87</v>
      </c>
      <c r="D381" s="81" t="str">
        <f>_xlfn.DISPIMG("ID_D0D8B69E38EF43FFBE6A4B2BF21C17EB",1)</f>
        <v>=DISPIMG("ID_D0D8B69E38EF43FFBE6A4B2BF21C17EB",1)</v>
      </c>
      <c r="E381" s="38">
        <v>112</v>
      </c>
      <c r="F381" s="39">
        <v>31</v>
      </c>
      <c r="G381" s="18">
        <v>33</v>
      </c>
      <c r="H381" s="40">
        <v>33</v>
      </c>
      <c r="I381" s="19">
        <v>35</v>
      </c>
    </row>
    <row r="382" ht="100.15" customHeight="1" spans="1:9">
      <c r="A382" s="21" t="s">
        <v>746</v>
      </c>
      <c r="B382" s="41" t="s">
        <v>747</v>
      </c>
      <c r="C382" s="16" t="s">
        <v>87</v>
      </c>
      <c r="D382" s="42" t="str">
        <f>_xlfn.DISPIMG("ID_E594E809B3944C1080DB448DB79A0483",1)</f>
        <v>=DISPIMG("ID_E594E809B3944C1080DB448DB79A0483",1)</v>
      </c>
      <c r="E382" s="38">
        <v>50</v>
      </c>
      <c r="F382" s="19">
        <v>33</v>
      </c>
      <c r="G382" s="18">
        <v>34.5</v>
      </c>
      <c r="H382" s="22">
        <v>34.5</v>
      </c>
      <c r="I382" s="19">
        <v>36.5</v>
      </c>
    </row>
    <row r="383" ht="60" customHeight="1" spans="1:9">
      <c r="A383" s="21" t="s">
        <v>748</v>
      </c>
      <c r="B383" s="41" t="s">
        <v>749</v>
      </c>
      <c r="C383" s="16"/>
      <c r="D383" s="42" t="str">
        <f>_xlfn.DISPIMG("ID_7565A20268CE4D97BB0374CB83EC23A4",1)</f>
        <v>=DISPIMG("ID_7565A20268CE4D97BB0374CB83EC23A4",1)</v>
      </c>
      <c r="E383" s="18"/>
      <c r="F383" s="19"/>
      <c r="G383" s="18">
        <f t="shared" ref="G383:G388" si="1">I383+2</f>
        <v>23</v>
      </c>
      <c r="H383" s="22">
        <v>18.74</v>
      </c>
      <c r="I383" s="19">
        <v>21</v>
      </c>
    </row>
    <row r="384" ht="60" customHeight="1" spans="1:9">
      <c r="A384" s="21" t="s">
        <v>750</v>
      </c>
      <c r="B384" s="41" t="s">
        <v>751</v>
      </c>
      <c r="C384" s="16"/>
      <c r="D384" s="42" t="str">
        <f>_xlfn.DISPIMG("ID_F5BD2450A54D411DA433512DBFDDFA90",1)</f>
        <v>=DISPIMG("ID_F5BD2450A54D411DA433512DBFDDFA90",1)</v>
      </c>
      <c r="E384" s="18"/>
      <c r="F384" s="19"/>
      <c r="G384" s="18">
        <f t="shared" si="1"/>
        <v>11</v>
      </c>
      <c r="H384" s="22">
        <v>7</v>
      </c>
      <c r="I384" s="19">
        <f>H384+2</f>
        <v>9</v>
      </c>
    </row>
    <row r="385" ht="60" customHeight="1" spans="1:9">
      <c r="A385" s="21" t="s">
        <v>752</v>
      </c>
      <c r="B385" s="41" t="s">
        <v>753</v>
      </c>
      <c r="C385" s="16"/>
      <c r="D385" s="42" t="str">
        <f>_xlfn.DISPIMG("ID_498421C26F154C268C824D82626551A1",1)</f>
        <v>=DISPIMG("ID_498421C26F154C268C824D82626551A1",1)</v>
      </c>
      <c r="E385" s="18"/>
      <c r="F385" s="19"/>
      <c r="G385" s="18">
        <f t="shared" si="1"/>
        <v>11</v>
      </c>
      <c r="H385" s="22">
        <v>7</v>
      </c>
      <c r="I385" s="19">
        <f>H385+2</f>
        <v>9</v>
      </c>
    </row>
    <row r="386" ht="60" customHeight="1" spans="1:9">
      <c r="A386" s="21" t="s">
        <v>754</v>
      </c>
      <c r="B386" s="41" t="s">
        <v>755</v>
      </c>
      <c r="C386" s="16"/>
      <c r="D386" s="42" t="str">
        <f>_xlfn.DISPIMG("ID_ECE5D2C5B303431BA2D40014AFBD74B9",1)</f>
        <v>=DISPIMG("ID_ECE5D2C5B303431BA2D40014AFBD74B9",1)</v>
      </c>
      <c r="E386" s="18"/>
      <c r="F386" s="19"/>
      <c r="G386" s="18">
        <f t="shared" si="1"/>
        <v>41</v>
      </c>
      <c r="H386" s="22">
        <v>37</v>
      </c>
      <c r="I386" s="19">
        <f>H386+2</f>
        <v>39</v>
      </c>
    </row>
    <row r="387" ht="60" customHeight="1" spans="1:9">
      <c r="A387" s="21" t="s">
        <v>756</v>
      </c>
      <c r="B387" s="41" t="s">
        <v>757</v>
      </c>
      <c r="C387" s="16"/>
      <c r="D387" s="42"/>
      <c r="E387" s="18"/>
      <c r="F387" s="19"/>
      <c r="G387" s="18">
        <f t="shared" si="1"/>
        <v>40.5</v>
      </c>
      <c r="H387" s="22">
        <v>36.5</v>
      </c>
      <c r="I387" s="19">
        <f>H387+2</f>
        <v>38.5</v>
      </c>
    </row>
    <row r="388" ht="60" customHeight="1" spans="1:9">
      <c r="A388" s="21" t="s">
        <v>758</v>
      </c>
      <c r="B388" s="41" t="s">
        <v>759</v>
      </c>
      <c r="C388" s="16"/>
      <c r="D388" s="42" t="str">
        <f>_xlfn.DISPIMG("ID_C800D293A5DB4B86BD8BDE29B8A8D3A5",1)</f>
        <v>=DISPIMG("ID_C800D293A5DB4B86BD8BDE29B8A8D3A5",1)</v>
      </c>
      <c r="E388" s="18"/>
      <c r="F388" s="19"/>
      <c r="G388" s="18">
        <f t="shared" si="1"/>
        <v>36.5</v>
      </c>
      <c r="H388" s="22">
        <v>32.5</v>
      </c>
      <c r="I388" s="19">
        <f>H388+2</f>
        <v>34.5</v>
      </c>
    </row>
    <row r="389" ht="100.15" customHeight="1" spans="1:9">
      <c r="A389" s="1" t="s">
        <v>760</v>
      </c>
      <c r="B389" s="78"/>
      <c r="C389" s="78"/>
      <c r="D389" s="78"/>
      <c r="E389" s="78"/>
      <c r="F389" s="78"/>
      <c r="G389" s="82"/>
      <c r="H389" s="78"/>
      <c r="I389" s="78"/>
    </row>
    <row r="390" ht="100.15" customHeight="1" spans="1:9">
      <c r="A390" s="83" t="s">
        <v>761</v>
      </c>
      <c r="B390" s="41" t="s">
        <v>762</v>
      </c>
      <c r="C390" s="16" t="s">
        <v>87</v>
      </c>
      <c r="D390" s="42" t="str">
        <f>_xlfn.DISPIMG("ID_F24285F96C7B44B7B49814171357D3FF",1)</f>
        <v>=DISPIMG("ID_F24285F96C7B44B7B49814171357D3FF",1)</v>
      </c>
      <c r="E390" s="18">
        <v>180</v>
      </c>
      <c r="F390" s="19"/>
      <c r="G390" s="18">
        <v>28</v>
      </c>
      <c r="H390" s="22">
        <v>27</v>
      </c>
      <c r="I390" s="19">
        <v>29</v>
      </c>
    </row>
    <row r="391" ht="100.15" customHeight="1" spans="1:9">
      <c r="A391" s="83" t="s">
        <v>763</v>
      </c>
      <c r="B391" s="41" t="s">
        <v>764</v>
      </c>
      <c r="C391" s="16" t="s">
        <v>87</v>
      </c>
      <c r="D391" s="42" t="str">
        <f>_xlfn.DISPIMG("ID_1AE6CF8D14A140E8A5BB7BC63F8DF30B",1)</f>
        <v>=DISPIMG("ID_1AE6CF8D14A140E8A5BB7BC63F8DF30B",1)</v>
      </c>
      <c r="E391" s="18">
        <v>180</v>
      </c>
      <c r="F391" s="19"/>
      <c r="G391" s="18">
        <v>37</v>
      </c>
      <c r="H391" s="22">
        <v>36</v>
      </c>
      <c r="I391" s="19">
        <v>38</v>
      </c>
    </row>
    <row r="392" ht="100.15" customHeight="1" spans="1:9">
      <c r="A392" s="84" t="s">
        <v>765</v>
      </c>
      <c r="B392" s="85" t="s">
        <v>766</v>
      </c>
      <c r="C392" s="16" t="s">
        <v>87</v>
      </c>
      <c r="D392" s="86" t="str">
        <f>_xlfn.DISPIMG("ID_405C5AE781254493BAFA02AD06F56FCD",1)</f>
        <v>=DISPIMG("ID_405C5AE781254493BAFA02AD06F56FCD",1)</v>
      </c>
      <c r="E392" s="18">
        <v>100</v>
      </c>
      <c r="F392" s="19">
        <v>26</v>
      </c>
      <c r="G392" s="18">
        <v>30</v>
      </c>
      <c r="H392" s="22">
        <v>29</v>
      </c>
      <c r="I392" s="19">
        <v>31</v>
      </c>
    </row>
    <row r="393" ht="100.15" customHeight="1" spans="1:9">
      <c r="A393" s="84" t="s">
        <v>767</v>
      </c>
      <c r="B393" s="85" t="s">
        <v>768</v>
      </c>
      <c r="C393" s="16" t="s">
        <v>87</v>
      </c>
      <c r="D393" s="86" t="str">
        <f>_xlfn.DISPIMG("ID_F76FE3AA72C149609272857199182857",1)</f>
        <v>=DISPIMG("ID_F76FE3AA72C149609272857199182857",1)</v>
      </c>
      <c r="E393" s="18">
        <v>120</v>
      </c>
      <c r="F393" s="19"/>
      <c r="G393" s="18">
        <v>24</v>
      </c>
      <c r="H393" s="22">
        <v>24</v>
      </c>
      <c r="I393" s="19">
        <v>26</v>
      </c>
    </row>
    <row r="394" ht="100.15" customHeight="1" spans="1:9">
      <c r="A394" s="84" t="s">
        <v>769</v>
      </c>
      <c r="B394" s="85" t="s">
        <v>770</v>
      </c>
      <c r="C394" s="16" t="s">
        <v>87</v>
      </c>
      <c r="D394" t="str">
        <f>_xlfn.DISPIMG("ID_3F5AC78882C344D8B9DD313198B6A13C",1)</f>
        <v>=DISPIMG("ID_3F5AC78882C344D8B9DD313198B6A13C",1)</v>
      </c>
      <c r="E394" s="18">
        <v>54</v>
      </c>
      <c r="F394" s="19">
        <v>32</v>
      </c>
      <c r="G394" s="18">
        <v>35</v>
      </c>
      <c r="H394" s="22">
        <v>33</v>
      </c>
      <c r="I394" s="19">
        <v>35</v>
      </c>
    </row>
    <row r="395" ht="100.15" customHeight="1" spans="1:9">
      <c r="A395" s="84" t="s">
        <v>771</v>
      </c>
      <c r="B395" s="85" t="s">
        <v>772</v>
      </c>
      <c r="C395" s="16" t="s">
        <v>87</v>
      </c>
      <c r="D395" s="86" t="str">
        <f>_xlfn.DISPIMG("ID_9875EBB5D1EB42C9A6D919838B6C70F6",1)</f>
        <v>=DISPIMG("ID_9875EBB5D1EB42C9A6D919838B6C70F6",1)</v>
      </c>
      <c r="E395" s="18">
        <v>54</v>
      </c>
      <c r="F395" s="19"/>
      <c r="G395" s="18">
        <v>28</v>
      </c>
      <c r="H395" s="22">
        <v>26</v>
      </c>
      <c r="I395" s="19">
        <v>28</v>
      </c>
    </row>
    <row r="396" ht="100.15" customHeight="1" spans="1:9">
      <c r="A396" s="84" t="s">
        <v>773</v>
      </c>
      <c r="B396" s="85" t="s">
        <v>774</v>
      </c>
      <c r="C396" s="16" t="s">
        <v>87</v>
      </c>
      <c r="D396" s="86" t="str">
        <f>_xlfn.DISPIMG("ID_53D5EC8AD72748ABA5EAD9C27EBC8A56",1)</f>
        <v>=DISPIMG("ID_53D5EC8AD72748ABA5EAD9C27EBC8A56",1)</v>
      </c>
      <c r="E396" s="18">
        <v>54</v>
      </c>
      <c r="F396" s="19"/>
      <c r="G396" s="18">
        <v>35</v>
      </c>
      <c r="H396" s="22">
        <v>33</v>
      </c>
      <c r="I396" s="19">
        <v>35</v>
      </c>
    </row>
    <row r="397" ht="100.15" customHeight="1" spans="1:9">
      <c r="A397" s="84" t="s">
        <v>775</v>
      </c>
      <c r="B397" s="85" t="s">
        <v>776</v>
      </c>
      <c r="C397" s="16" t="s">
        <v>87</v>
      </c>
      <c r="D397" s="86" t="str">
        <f>_xlfn.DISPIMG("ID_557C6A3D92FD4FA8AF2FC2B80F9CADBA",1)</f>
        <v>=DISPIMG("ID_557C6A3D92FD4FA8AF2FC2B80F9CADBA",1)</v>
      </c>
      <c r="E397" s="18">
        <v>144</v>
      </c>
      <c r="F397" s="19"/>
      <c r="G397" s="18">
        <v>33</v>
      </c>
      <c r="H397" s="22">
        <v>33</v>
      </c>
      <c r="I397" s="19">
        <v>35</v>
      </c>
    </row>
    <row r="398" ht="100.15" customHeight="1" spans="1:9">
      <c r="A398" s="84" t="s">
        <v>777</v>
      </c>
      <c r="B398" s="85" t="s">
        <v>778</v>
      </c>
      <c r="C398" s="16" t="s">
        <v>87</v>
      </c>
      <c r="D398" s="86" t="str">
        <f>_xlfn.DISPIMG("ID_6EFD56BD8229437DBED987C2F75A7689",1)</f>
        <v>=DISPIMG("ID_6EFD56BD8229437DBED987C2F75A7689",1)</v>
      </c>
      <c r="E398" s="18">
        <v>192</v>
      </c>
      <c r="F398" s="19"/>
      <c r="G398" s="18">
        <v>30</v>
      </c>
      <c r="H398" s="22">
        <v>30</v>
      </c>
      <c r="I398" s="19">
        <v>32</v>
      </c>
    </row>
    <row r="399" ht="100.15" customHeight="1" spans="1:9">
      <c r="A399" s="84" t="s">
        <v>779</v>
      </c>
      <c r="B399" s="85" t="s">
        <v>780</v>
      </c>
      <c r="C399" s="16" t="s">
        <v>87</v>
      </c>
      <c r="D399" s="86" t="str">
        <f>_xlfn.DISPIMG("ID_A581ABB4D1A7431E8D8B733709D641A9",1)</f>
        <v>=DISPIMG("ID_A581ABB4D1A7431E8D8B733709D641A9",1)</v>
      </c>
      <c r="E399" s="18">
        <v>192</v>
      </c>
      <c r="F399" s="19"/>
      <c r="G399" s="18">
        <v>30</v>
      </c>
      <c r="H399" s="22">
        <v>30</v>
      </c>
      <c r="I399" s="19">
        <v>32</v>
      </c>
    </row>
    <row r="400" ht="100.15" customHeight="1" spans="1:9">
      <c r="A400" s="84" t="s">
        <v>781</v>
      </c>
      <c r="B400" s="85" t="s">
        <v>782</v>
      </c>
      <c r="C400" s="16" t="s">
        <v>87</v>
      </c>
      <c r="D400" s="86" t="str">
        <f>_xlfn.DISPIMG("ID_6C0EBFC1499D4FC790D1B66A8DEA089D",1)</f>
        <v>=DISPIMG("ID_6C0EBFC1499D4FC790D1B66A8DEA089D",1)</v>
      </c>
      <c r="E400" s="18">
        <v>78</v>
      </c>
      <c r="F400" s="19"/>
      <c r="G400" s="18">
        <v>37</v>
      </c>
      <c r="H400" s="22">
        <v>37</v>
      </c>
      <c r="I400" s="19">
        <v>39</v>
      </c>
    </row>
    <row r="401" ht="60" customHeight="1" spans="1:9">
      <c r="A401" s="21" t="s">
        <v>783</v>
      </c>
      <c r="B401" s="41" t="s">
        <v>784</v>
      </c>
      <c r="C401" s="16"/>
      <c r="D401" s="42" t="str">
        <f>_xlfn.DISPIMG("ID_9AE384F78E744F829788AC7AF4DADFE5",1)</f>
        <v>=DISPIMG("ID_9AE384F78E744F829788AC7AF4DADFE5",1)</v>
      </c>
      <c r="E401" s="18"/>
      <c r="F401" s="19"/>
      <c r="G401" s="18">
        <f>I401+2</f>
        <v>41</v>
      </c>
      <c r="H401" s="22">
        <v>37</v>
      </c>
      <c r="I401" s="19">
        <v>39</v>
      </c>
    </row>
    <row r="402" ht="60" customHeight="1" spans="1:9">
      <c r="A402" s="21" t="s">
        <v>785</v>
      </c>
      <c r="B402" s="41" t="s">
        <v>786</v>
      </c>
      <c r="C402" s="16"/>
      <c r="D402" s="42" t="str">
        <f>_xlfn.DISPIMG("ID_90A0F493C2484E509841F88B53F1D553",1)</f>
        <v>=DISPIMG("ID_90A0F493C2484E509841F88B53F1D553",1)</v>
      </c>
      <c r="E402" s="18"/>
      <c r="F402" s="19"/>
      <c r="G402" s="18">
        <f t="shared" ref="G402:G408" si="2">I402+2</f>
        <v>39</v>
      </c>
      <c r="H402" s="22">
        <v>35</v>
      </c>
      <c r="I402" s="19">
        <v>37</v>
      </c>
    </row>
    <row r="403" ht="60" customHeight="1" spans="1:9">
      <c r="A403" s="21" t="s">
        <v>787</v>
      </c>
      <c r="B403" s="41" t="s">
        <v>788</v>
      </c>
      <c r="C403" s="16"/>
      <c r="D403" s="42" t="str">
        <f>_xlfn.DISPIMG("ID_E8EE90875DAE48CF8F494A5EEF7C9E63",1)</f>
        <v>=DISPIMG("ID_E8EE90875DAE48CF8F494A5EEF7C9E63",1)</v>
      </c>
      <c r="E403" s="18"/>
      <c r="F403" s="19"/>
      <c r="G403" s="18">
        <f t="shared" si="2"/>
        <v>30</v>
      </c>
      <c r="H403" s="22">
        <v>26</v>
      </c>
      <c r="I403" s="19">
        <v>28</v>
      </c>
    </row>
    <row r="404" ht="60" customHeight="1" spans="1:9">
      <c r="A404" s="21" t="s">
        <v>789</v>
      </c>
      <c r="B404" s="41" t="s">
        <v>790</v>
      </c>
      <c r="C404" s="16"/>
      <c r="D404" s="42" t="str">
        <f>_xlfn.DISPIMG("ID_174FF219A05D485E8A14BF7E236E29D8",1)</f>
        <v>=DISPIMG("ID_174FF219A05D485E8A14BF7E236E29D8",1)</v>
      </c>
      <c r="E404" s="18"/>
      <c r="F404" s="19"/>
      <c r="G404" s="18">
        <f t="shared" si="2"/>
        <v>39</v>
      </c>
      <c r="H404" s="22">
        <v>35</v>
      </c>
      <c r="I404" s="19">
        <v>37</v>
      </c>
    </row>
    <row r="405" ht="60" customHeight="1" spans="1:9">
      <c r="A405" s="21" t="s">
        <v>791</v>
      </c>
      <c r="B405" s="41" t="s">
        <v>792</v>
      </c>
      <c r="C405" s="16"/>
      <c r="D405" s="42" t="str">
        <f>_xlfn.DISPIMG("ID_5834E69A71C248EB95E1C48BE37C0E26",1)</f>
        <v>=DISPIMG("ID_5834E69A71C248EB95E1C48BE37C0E26",1)</v>
      </c>
      <c r="E405" s="18"/>
      <c r="F405" s="19"/>
      <c r="G405" s="18">
        <f t="shared" si="2"/>
        <v>36</v>
      </c>
      <c r="H405" s="22">
        <v>32</v>
      </c>
      <c r="I405" s="19">
        <v>34</v>
      </c>
    </row>
    <row r="406" ht="60" customHeight="1" spans="1:9">
      <c r="A406" s="21" t="s">
        <v>793</v>
      </c>
      <c r="B406" s="41" t="s">
        <v>794</v>
      </c>
      <c r="C406" s="16"/>
      <c r="D406" s="42" t="str">
        <f>_xlfn.DISPIMG("ID_528043F3A45341EEA49B9F07F939E85D",1)</f>
        <v>=DISPIMG("ID_528043F3A45341EEA49B9F07F939E85D",1)</v>
      </c>
      <c r="E406" s="18"/>
      <c r="F406" s="19"/>
      <c r="G406" s="18">
        <f t="shared" si="2"/>
        <v>44</v>
      </c>
      <c r="H406" s="22">
        <v>40</v>
      </c>
      <c r="I406" s="19">
        <v>42</v>
      </c>
    </row>
    <row r="407" ht="60" customHeight="1" spans="1:9">
      <c r="A407" s="21" t="s">
        <v>795</v>
      </c>
      <c r="B407" s="41" t="s">
        <v>796</v>
      </c>
      <c r="C407" s="16"/>
      <c r="D407" s="42" t="str">
        <f>_xlfn.DISPIMG("ID_B244E34F88694CF086096EFA7B323EA7",1)</f>
        <v>=DISPIMG("ID_B244E34F88694CF086096EFA7B323EA7",1)</v>
      </c>
      <c r="E407" s="18"/>
      <c r="F407" s="19"/>
      <c r="G407" s="18">
        <f t="shared" si="2"/>
        <v>31</v>
      </c>
      <c r="H407" s="22">
        <v>27</v>
      </c>
      <c r="I407" s="19">
        <v>29</v>
      </c>
    </row>
    <row r="408" ht="60" customHeight="1" spans="1:9">
      <c r="A408" s="21" t="s">
        <v>797</v>
      </c>
      <c r="B408" s="41" t="s">
        <v>798</v>
      </c>
      <c r="C408" s="16"/>
      <c r="D408" s="42" t="str">
        <f>_xlfn.DISPIMG("ID_56706CC5C7914DF9BA7424652D964520",1)</f>
        <v>=DISPIMG("ID_56706CC5C7914DF9BA7424652D964520",1)</v>
      </c>
      <c r="E408" s="18"/>
      <c r="F408" s="19"/>
      <c r="G408" s="18">
        <f t="shared" si="2"/>
        <v>45</v>
      </c>
      <c r="H408" s="22">
        <v>41</v>
      </c>
      <c r="I408" s="19">
        <v>43</v>
      </c>
    </row>
    <row r="409" ht="100.15" customHeight="1" spans="1:9">
      <c r="A409" s="1" t="s">
        <v>799</v>
      </c>
      <c r="B409" s="78"/>
      <c r="C409" s="78"/>
      <c r="D409" s="78"/>
      <c r="E409" s="78"/>
      <c r="F409" s="78"/>
      <c r="G409" s="82"/>
      <c r="H409" s="78"/>
      <c r="I409" s="78"/>
    </row>
    <row r="410" ht="100.15" customHeight="1" spans="1:9">
      <c r="A410" s="21" t="s">
        <v>800</v>
      </c>
      <c r="B410" s="41" t="s">
        <v>801</v>
      </c>
      <c r="C410" s="16" t="s">
        <v>87</v>
      </c>
      <c r="D410" s="42" t="str">
        <f>_xlfn.DISPIMG("ID_6BEC596BED714E6EAE319B5C2C4FF470",1)</f>
        <v>=DISPIMG("ID_6BEC596BED714E6EAE319B5C2C4FF470",1)</v>
      </c>
      <c r="E410" s="18">
        <v>30</v>
      </c>
      <c r="F410" s="19"/>
      <c r="G410" s="18">
        <v>36</v>
      </c>
      <c r="H410" s="22">
        <v>36</v>
      </c>
      <c r="I410" s="19">
        <v>38</v>
      </c>
    </row>
    <row r="411" ht="100.15" customHeight="1" spans="1:9">
      <c r="A411" s="21" t="s">
        <v>802</v>
      </c>
      <c r="B411" s="41" t="s">
        <v>803</v>
      </c>
      <c r="C411" s="16" t="s">
        <v>87</v>
      </c>
      <c r="D411" s="42" t="str">
        <f>_xlfn.DISPIMG("ID_FC107B80DB2E41BBACC89DBFACECC7A6",1)</f>
        <v>=DISPIMG("ID_FC107B80DB2E41BBACC89DBFACECC7A6",1)</v>
      </c>
      <c r="E411" s="18">
        <v>30</v>
      </c>
      <c r="F411" s="19"/>
      <c r="G411" s="18">
        <v>27</v>
      </c>
      <c r="H411" s="22">
        <v>27</v>
      </c>
      <c r="I411" s="19">
        <v>29</v>
      </c>
    </row>
    <row r="412" ht="100.15" customHeight="1" spans="1:9">
      <c r="A412" s="21" t="s">
        <v>804</v>
      </c>
      <c r="B412" s="41" t="s">
        <v>805</v>
      </c>
      <c r="C412" s="16" t="s">
        <v>87</v>
      </c>
      <c r="D412" s="42" t="str">
        <f>_xlfn.DISPIMG("ID_6E0EA3BAED8C4401ABBF1C20837CEDD5",1)</f>
        <v>=DISPIMG("ID_6E0EA3BAED8C4401ABBF1C20837CEDD5",1)</v>
      </c>
      <c r="E412" s="18">
        <v>30</v>
      </c>
      <c r="F412" s="19"/>
      <c r="G412" s="18">
        <v>36</v>
      </c>
      <c r="H412" s="22">
        <v>36</v>
      </c>
      <c r="I412" s="19">
        <v>38</v>
      </c>
    </row>
    <row r="413" ht="100.15" customHeight="1" spans="1:9">
      <c r="A413" s="21" t="s">
        <v>806</v>
      </c>
      <c r="B413" s="41" t="s">
        <v>807</v>
      </c>
      <c r="C413" s="16" t="s">
        <v>87</v>
      </c>
      <c r="D413" s="42" t="str">
        <f>_xlfn.DISPIMG("ID_500A48BAC6F44ED288BD377BC26A859C",1)</f>
        <v>=DISPIMG("ID_500A48BAC6F44ED288BD377BC26A859C",1)</v>
      </c>
      <c r="E413" s="18"/>
      <c r="F413" s="19"/>
      <c r="G413" s="18">
        <v>36</v>
      </c>
      <c r="H413" s="22">
        <v>36</v>
      </c>
      <c r="I413" s="19">
        <v>38</v>
      </c>
    </row>
    <row r="414" ht="100.15" customHeight="1" spans="1:9">
      <c r="A414" s="21" t="s">
        <v>808</v>
      </c>
      <c r="B414" s="41" t="s">
        <v>809</v>
      </c>
      <c r="C414" s="16" t="s">
        <v>87</v>
      </c>
      <c r="D414" s="42" t="str">
        <f>_xlfn.DISPIMG("ID_C4998C51236E4E2DB6098055B39F4747",1)</f>
        <v>=DISPIMG("ID_C4998C51236E4E2DB6098055B39F4747",1)</v>
      </c>
      <c r="E414" s="18"/>
      <c r="F414" s="19"/>
      <c r="G414" s="18">
        <v>36</v>
      </c>
      <c r="H414" s="22">
        <v>36</v>
      </c>
      <c r="I414" s="19">
        <v>38</v>
      </c>
    </row>
    <row r="415" ht="100.15" customHeight="1" spans="1:9">
      <c r="A415" s="21" t="s">
        <v>810</v>
      </c>
      <c r="B415" s="41" t="s">
        <v>811</v>
      </c>
      <c r="C415" s="16" t="s">
        <v>87</v>
      </c>
      <c r="D415" s="42" t="str">
        <f>_xlfn.DISPIMG("ID_91FF42639A7E457F9A30169050282003",1)</f>
        <v>=DISPIMG("ID_91FF42639A7E457F9A30169050282003",1)</v>
      </c>
      <c r="E415" s="18">
        <v>60</v>
      </c>
      <c r="F415" s="19"/>
      <c r="G415" s="18">
        <v>31</v>
      </c>
      <c r="H415" s="22">
        <v>31</v>
      </c>
      <c r="I415" s="19">
        <v>33</v>
      </c>
    </row>
    <row r="416" ht="100.15" customHeight="1" spans="1:9">
      <c r="A416" s="21" t="s">
        <v>812</v>
      </c>
      <c r="B416" s="41" t="s">
        <v>813</v>
      </c>
      <c r="C416" s="16" t="s">
        <v>87</v>
      </c>
      <c r="D416" s="42" t="str">
        <f>_xlfn.DISPIMG("ID_DC09E013694B4D7EAB7301A6DA426435",1)</f>
        <v>=DISPIMG("ID_DC09E013694B4D7EAB7301A6DA426435",1)</v>
      </c>
      <c r="E416" s="18">
        <v>60</v>
      </c>
      <c r="F416" s="19"/>
      <c r="G416" s="18">
        <v>36</v>
      </c>
      <c r="H416" s="22">
        <v>36</v>
      </c>
      <c r="I416" s="19">
        <v>38</v>
      </c>
    </row>
    <row r="417" ht="100.15" customHeight="1" spans="1:9">
      <c r="A417" s="1" t="s">
        <v>814</v>
      </c>
      <c r="B417" s="13"/>
      <c r="C417" s="13"/>
      <c r="D417" s="13"/>
      <c r="E417" s="13"/>
      <c r="F417" s="13"/>
      <c r="G417" s="14"/>
      <c r="H417" s="13"/>
      <c r="I417" s="13"/>
    </row>
    <row r="418" ht="95" customHeight="1" spans="1:9">
      <c r="A418" s="21" t="s">
        <v>815</v>
      </c>
      <c r="B418" s="15" t="s">
        <v>816</v>
      </c>
      <c r="C418" s="16" t="s">
        <v>87</v>
      </c>
      <c r="D418" s="17" t="str">
        <f>_xlfn.DISPIMG("ID_D3B67899097C456DBCBDD881FD9B1162",1)</f>
        <v>=DISPIMG("ID_D3B67899097C456DBCBDD881FD9B1162",1)</v>
      </c>
      <c r="E418" s="18"/>
      <c r="F418" s="19"/>
      <c r="G418" s="87">
        <v>55</v>
      </c>
      <c r="H418" s="20">
        <v>55</v>
      </c>
      <c r="I418" s="19">
        <v>57</v>
      </c>
    </row>
    <row r="419" ht="95" customHeight="1" spans="1:9">
      <c r="A419" s="1" t="s">
        <v>817</v>
      </c>
      <c r="B419" s="13"/>
      <c r="C419" s="13"/>
      <c r="D419" s="13"/>
      <c r="E419" s="13"/>
      <c r="F419" s="13"/>
      <c r="G419" s="14"/>
      <c r="H419" s="13"/>
      <c r="I419" s="13"/>
    </row>
    <row r="420" ht="95" customHeight="1" spans="1:9">
      <c r="A420" s="21" t="s">
        <v>818</v>
      </c>
      <c r="B420" s="15" t="s">
        <v>819</v>
      </c>
      <c r="C420" s="16" t="s">
        <v>12</v>
      </c>
      <c r="D420" s="17" t="str">
        <f>_xlfn.DISPIMG("ID_9EB2CB95071A409F8BF99A69DF1A0A68",1)</f>
        <v>=DISPIMG("ID_9EB2CB95071A409F8BF99A69DF1A0A68",1)</v>
      </c>
      <c r="E420" s="18"/>
      <c r="F420" s="19"/>
      <c r="G420" s="88">
        <v>27</v>
      </c>
      <c r="H420" s="20">
        <v>27</v>
      </c>
      <c r="I420" s="19">
        <v>29</v>
      </c>
    </row>
    <row r="421" ht="95" customHeight="1" spans="1:9">
      <c r="A421" s="21" t="s">
        <v>820</v>
      </c>
      <c r="B421" s="15" t="s">
        <v>821</v>
      </c>
      <c r="C421" s="16" t="s">
        <v>12</v>
      </c>
      <c r="D421" s="17" t="str">
        <f>_xlfn.DISPIMG("ID_5E8AB191CEE248298C5063CDABCC50BF",1)</f>
        <v>=DISPIMG("ID_5E8AB191CEE248298C5063CDABCC50BF",1)</v>
      </c>
      <c r="E421" s="18"/>
      <c r="F421" s="19"/>
      <c r="G421" s="88">
        <v>27</v>
      </c>
      <c r="H421" s="20">
        <v>27</v>
      </c>
      <c r="I421" s="19">
        <v>29</v>
      </c>
    </row>
    <row r="422" ht="95" customHeight="1" spans="1:9">
      <c r="A422" s="1" t="s">
        <v>822</v>
      </c>
      <c r="B422" s="13"/>
      <c r="C422" s="13"/>
      <c r="D422" s="13"/>
      <c r="E422" s="13"/>
      <c r="F422" s="13"/>
      <c r="G422" s="14"/>
      <c r="H422" s="13"/>
      <c r="I422" s="13"/>
    </row>
    <row r="423" ht="100.15" customHeight="1" spans="1:9">
      <c r="A423" s="21" t="s">
        <v>823</v>
      </c>
      <c r="B423" s="41" t="s">
        <v>824</v>
      </c>
      <c r="C423" s="16" t="s">
        <v>87</v>
      </c>
      <c r="D423" s="42" t="str">
        <f>_xlfn.DISPIMG("ID_FFE94A8057C34D6C8EA090464CEE7B83",1)</f>
        <v>=DISPIMG("ID_FFE94A8057C34D6C8EA090464CEE7B83",1)</v>
      </c>
      <c r="E423" s="18"/>
      <c r="F423" s="19"/>
      <c r="G423" s="88">
        <v>27</v>
      </c>
      <c r="H423" s="22">
        <v>27</v>
      </c>
      <c r="I423" s="19">
        <v>29</v>
      </c>
    </row>
    <row r="424" ht="100.15" customHeight="1" spans="1:9">
      <c r="A424" s="21" t="s">
        <v>825</v>
      </c>
      <c r="B424" s="41" t="s">
        <v>826</v>
      </c>
      <c r="C424" s="16" t="s">
        <v>87</v>
      </c>
      <c r="D424" s="42" t="str">
        <f>_xlfn.DISPIMG("ID_D0969B0BECD74F8ABC2DAD8A45C50E8A",1)</f>
        <v>=DISPIMG("ID_D0969B0BECD74F8ABC2DAD8A45C50E8A",1)</v>
      </c>
      <c r="E424" s="18"/>
      <c r="F424" s="19"/>
      <c r="G424" s="88">
        <v>29</v>
      </c>
      <c r="H424" s="22">
        <v>29</v>
      </c>
      <c r="I424" s="19">
        <v>31</v>
      </c>
    </row>
    <row r="425" ht="60" customHeight="1" spans="1:9">
      <c r="A425" s="21" t="s">
        <v>827</v>
      </c>
      <c r="B425" s="41" t="s">
        <v>828</v>
      </c>
      <c r="C425" s="16"/>
      <c r="D425" s="42" t="str">
        <f>_xlfn.DISPIMG("ID_848B802105D6437FA841A2399475625E",1)</f>
        <v>=DISPIMG("ID_848B802105D6437FA841A2399475625E",1)</v>
      </c>
      <c r="E425" s="18"/>
      <c r="F425" s="19"/>
      <c r="G425" s="18">
        <f>I425+2</f>
        <v>37</v>
      </c>
      <c r="H425" s="22">
        <v>33</v>
      </c>
      <c r="I425" s="19">
        <v>35</v>
      </c>
    </row>
    <row r="426" ht="60" customHeight="1" spans="1:9">
      <c r="A426" s="21" t="s">
        <v>829</v>
      </c>
      <c r="B426" s="41" t="s">
        <v>830</v>
      </c>
      <c r="C426" s="16"/>
      <c r="D426" s="42" t="str">
        <f>_xlfn.DISPIMG("ID_2DCFAF9BFF654757B8758D357E6DFF9D",1)</f>
        <v>=DISPIMG("ID_2DCFAF9BFF654757B8758D357E6DFF9D",1)</v>
      </c>
      <c r="E426" s="18"/>
      <c r="F426" s="19"/>
      <c r="G426" s="18">
        <f>I426+2</f>
        <v>52</v>
      </c>
      <c r="H426" s="22">
        <v>48</v>
      </c>
      <c r="I426" s="19">
        <v>50</v>
      </c>
    </row>
    <row r="427" ht="60" customHeight="1" spans="1:9">
      <c r="A427" s="21" t="s">
        <v>831</v>
      </c>
      <c r="B427" s="41" t="s">
        <v>832</v>
      </c>
      <c r="C427" s="16"/>
      <c r="D427" s="42" t="str">
        <f>_xlfn.DISPIMG("ID_E37EB94BE65245DCA8D128AB37139042",1)</f>
        <v>=DISPIMG("ID_E37EB94BE65245DCA8D128AB37139042",1)</v>
      </c>
      <c r="E427" s="18"/>
      <c r="F427" s="19"/>
      <c r="G427" s="18">
        <f>I427+2</f>
        <v>45</v>
      </c>
      <c r="H427" s="22">
        <v>41</v>
      </c>
      <c r="I427" s="19">
        <v>43</v>
      </c>
    </row>
    <row r="428" ht="60" customHeight="1" spans="1:9">
      <c r="A428" s="21" t="s">
        <v>833</v>
      </c>
      <c r="B428" s="41" t="s">
        <v>834</v>
      </c>
      <c r="C428" s="16"/>
      <c r="D428" s="42" t="str">
        <f>_xlfn.DISPIMG("ID_89F302D770724658BE7CB32BC9918737",1)</f>
        <v>=DISPIMG("ID_89F302D770724658BE7CB32BC9918737",1)</v>
      </c>
      <c r="E428" s="18"/>
      <c r="F428" s="19"/>
      <c r="G428" s="18">
        <f>I428+2</f>
        <v>45</v>
      </c>
      <c r="H428" s="22">
        <v>41</v>
      </c>
      <c r="I428" s="19">
        <v>43</v>
      </c>
    </row>
    <row r="429" ht="60" customHeight="1" spans="1:9">
      <c r="A429" s="21" t="s">
        <v>835</v>
      </c>
      <c r="B429" s="41" t="s">
        <v>836</v>
      </c>
      <c r="C429" s="16"/>
      <c r="D429" s="42" t="str">
        <f>_xlfn.DISPIMG("ID_5F61873709CC487DBB24F17787E281F0",1)</f>
        <v>=DISPIMG("ID_5F61873709CC487DBB24F17787E281F0",1)</v>
      </c>
      <c r="E429" s="18"/>
      <c r="F429" s="19"/>
      <c r="G429" s="18">
        <f>I429+2</f>
        <v>33</v>
      </c>
      <c r="H429" s="22">
        <v>29</v>
      </c>
      <c r="I429" s="19">
        <v>31</v>
      </c>
    </row>
    <row r="430" ht="100.15" customHeight="1" spans="1:9">
      <c r="A430" s="1" t="s">
        <v>837</v>
      </c>
      <c r="B430" s="13"/>
      <c r="C430" s="13"/>
      <c r="D430" s="13"/>
      <c r="E430" s="13"/>
      <c r="F430" s="13"/>
      <c r="G430" s="14"/>
      <c r="H430" s="13"/>
      <c r="I430" s="13"/>
    </row>
    <row r="431" ht="95" customHeight="1" spans="1:9">
      <c r="A431" s="21" t="s">
        <v>838</v>
      </c>
      <c r="B431" s="15" t="s">
        <v>839</v>
      </c>
      <c r="C431" s="16" t="s">
        <v>12</v>
      </c>
      <c r="D431" s="17" t="str">
        <f>_xlfn.DISPIMG("ID_FE5CAE6242B6427F800CB9FA3D3712AC",1)</f>
        <v>=DISPIMG("ID_FE5CAE6242B6427F800CB9FA3D3712AC",1)</v>
      </c>
      <c r="E431" s="18"/>
      <c r="F431" s="19"/>
      <c r="G431" s="18">
        <v>20</v>
      </c>
      <c r="H431" s="20">
        <v>20</v>
      </c>
      <c r="I431" s="19">
        <v>22</v>
      </c>
    </row>
    <row r="432" ht="95" customHeight="1" spans="1:9">
      <c r="A432" s="1" t="s">
        <v>840</v>
      </c>
      <c r="B432" s="13"/>
      <c r="C432" s="13"/>
      <c r="D432" s="13"/>
      <c r="E432" s="13"/>
      <c r="F432" s="13"/>
      <c r="G432" s="14"/>
      <c r="H432" s="13"/>
      <c r="I432" s="13"/>
    </row>
    <row r="433" ht="99.95" customHeight="1" spans="1:9">
      <c r="A433" s="16" t="s">
        <v>841</v>
      </c>
      <c r="B433" s="41" t="s">
        <v>842</v>
      </c>
      <c r="C433" s="16" t="s">
        <v>87</v>
      </c>
      <c r="D433" s="42" t="str">
        <f>_xlfn.DISPIMG("ID_C38414FF212944CE8DF0D7D8523E5D78",1)</f>
        <v>=DISPIMG("ID_C38414FF212944CE8DF0D7D8523E5D78",1)</v>
      </c>
      <c r="E433" s="18"/>
      <c r="F433" s="19"/>
      <c r="G433" s="18">
        <v>31</v>
      </c>
      <c r="H433" s="22">
        <v>31</v>
      </c>
      <c r="I433" s="19">
        <v>33</v>
      </c>
    </row>
    <row r="434" ht="99.95" customHeight="1" spans="1:9">
      <c r="A434" s="21" t="s">
        <v>843</v>
      </c>
      <c r="B434" s="41" t="s">
        <v>844</v>
      </c>
      <c r="C434" s="16" t="s">
        <v>87</v>
      </c>
      <c r="D434" s="42" t="str">
        <f>_xlfn.DISPIMG("ID_0BD313C160E0488DB6C639DE4D134019",1)</f>
        <v>=DISPIMG("ID_0BD313C160E0488DB6C639DE4D134019",1)</v>
      </c>
      <c r="E434" s="18"/>
      <c r="F434" s="19"/>
      <c r="G434" s="18">
        <v>29</v>
      </c>
      <c r="H434" s="22">
        <v>29</v>
      </c>
      <c r="I434" s="19">
        <v>31</v>
      </c>
    </row>
    <row r="435" ht="99.95" customHeight="1" spans="1:9">
      <c r="A435" s="21" t="s">
        <v>845</v>
      </c>
      <c r="B435" s="41" t="s">
        <v>846</v>
      </c>
      <c r="C435" s="16" t="s">
        <v>87</v>
      </c>
      <c r="D435" s="42" t="str">
        <f>_xlfn.DISPIMG("ID_1AB27A0C6474422FAEC2793E6D4978F9",1)</f>
        <v>=DISPIMG("ID_1AB27A0C6474422FAEC2793E6D4978F9",1)</v>
      </c>
      <c r="E435" s="18"/>
      <c r="F435" s="19"/>
      <c r="G435" s="18">
        <v>32</v>
      </c>
      <c r="H435" s="22">
        <v>32</v>
      </c>
      <c r="I435" s="19">
        <v>34</v>
      </c>
    </row>
    <row r="436" ht="99.95" customHeight="1" spans="1:9">
      <c r="A436" s="1" t="s">
        <v>847</v>
      </c>
      <c r="B436" s="13"/>
      <c r="C436" s="13"/>
      <c r="D436" s="13"/>
      <c r="E436" s="13"/>
      <c r="F436" s="13"/>
      <c r="G436" s="14"/>
      <c r="H436" s="13"/>
      <c r="I436" s="13"/>
    </row>
    <row r="437" ht="100.15" customHeight="1" spans="1:9">
      <c r="A437" s="21" t="s">
        <v>848</v>
      </c>
      <c r="B437" s="41" t="s">
        <v>849</v>
      </c>
      <c r="C437" s="16" t="s">
        <v>850</v>
      </c>
      <c r="D437" s="42" t="str">
        <f>_xlfn.DISPIMG("ID_6457B75021AE45DF954AF7987973885C",1)</f>
        <v>=DISPIMG("ID_6457B75021AE45DF954AF7987973885C",1)</v>
      </c>
      <c r="E437" s="18"/>
      <c r="F437" s="19"/>
      <c r="G437" s="67">
        <v>24</v>
      </c>
      <c r="H437" s="22">
        <v>24</v>
      </c>
      <c r="I437" s="19">
        <v>24</v>
      </c>
    </row>
    <row r="438" ht="99.95" customHeight="1" spans="1:9">
      <c r="A438" s="21" t="s">
        <v>851</v>
      </c>
      <c r="B438" s="41" t="s">
        <v>852</v>
      </c>
      <c r="C438" s="16" t="s">
        <v>850</v>
      </c>
      <c r="D438" s="42" t="str">
        <f>_xlfn.DISPIMG("ID_EA73826B2F294245B75D2265A48C6B32",1)</f>
        <v>=DISPIMG("ID_EA73826B2F294245B75D2265A48C6B32",1)</v>
      </c>
      <c r="E438" s="18"/>
      <c r="F438" s="19"/>
      <c r="G438" s="67">
        <v>24</v>
      </c>
      <c r="H438" s="22">
        <v>24</v>
      </c>
      <c r="I438" s="19">
        <v>24</v>
      </c>
    </row>
    <row r="439" ht="99.95" customHeight="1" spans="1:9">
      <c r="A439" s="21" t="s">
        <v>853</v>
      </c>
      <c r="B439" s="41" t="s">
        <v>854</v>
      </c>
      <c r="C439" s="16" t="s">
        <v>850</v>
      </c>
      <c r="D439" s="42" t="str">
        <f>_xlfn.DISPIMG("ID_F0432232B7A74FB99A24E47E96E24F0B",1)</f>
        <v>=DISPIMG("ID_F0432232B7A74FB99A24E47E96E24F0B",1)</v>
      </c>
      <c r="E439" s="18"/>
      <c r="F439" s="19"/>
      <c r="G439" s="67">
        <v>24.5</v>
      </c>
      <c r="H439" s="22">
        <v>24.5</v>
      </c>
      <c r="I439" s="19">
        <v>24.5</v>
      </c>
    </row>
    <row r="440" ht="99.95" customHeight="1" spans="1:9">
      <c r="A440" s="1" t="s">
        <v>855</v>
      </c>
      <c r="B440" s="13"/>
      <c r="C440" s="13"/>
      <c r="D440" s="13"/>
      <c r="E440" s="13"/>
      <c r="F440" s="13"/>
      <c r="G440" s="14"/>
      <c r="H440" s="13"/>
      <c r="I440" s="13"/>
    </row>
    <row r="441" ht="100.15" customHeight="1" spans="1:9">
      <c r="A441" s="21" t="s">
        <v>856</v>
      </c>
      <c r="B441" s="41" t="s">
        <v>857</v>
      </c>
      <c r="C441" s="16" t="s">
        <v>87</v>
      </c>
      <c r="D441" s="42" t="str">
        <f>_xlfn.DISPIMG("ID_197568155FE446F3BD33126F8AF7CF2E",1)</f>
        <v>=DISPIMG("ID_197568155FE446F3BD33126F8AF7CF2E",1)</v>
      </c>
      <c r="E441" s="18"/>
      <c r="F441" s="19"/>
      <c r="G441" s="67">
        <v>41</v>
      </c>
      <c r="H441" s="22">
        <v>41</v>
      </c>
      <c r="I441" s="19">
        <v>43</v>
      </c>
    </row>
    <row r="442" ht="100.15" customHeight="1" spans="1:9">
      <c r="A442" s="21" t="s">
        <v>858</v>
      </c>
      <c r="B442" s="41" t="s">
        <v>859</v>
      </c>
      <c r="C442" s="16" t="s">
        <v>87</v>
      </c>
      <c r="D442" s="42" t="str">
        <f>_xlfn.DISPIMG("ID_C1B9C188BC0B41319542C3083FBA8C34",1)</f>
        <v>=DISPIMG("ID_C1B9C188BC0B41319542C3083FBA8C34",1)</v>
      </c>
      <c r="E442" s="18"/>
      <c r="F442" s="19"/>
      <c r="G442" s="67">
        <v>43</v>
      </c>
      <c r="H442" s="22">
        <v>43</v>
      </c>
      <c r="I442" s="19">
        <v>45</v>
      </c>
    </row>
    <row r="443" ht="100.15" customHeight="1" spans="1:9">
      <c r="A443" s="21" t="s">
        <v>860</v>
      </c>
      <c r="B443" s="41" t="s">
        <v>861</v>
      </c>
      <c r="C443" s="16" t="s">
        <v>87</v>
      </c>
      <c r="D443" s="42" t="str">
        <f>_xlfn.DISPIMG("ID_F6CDBA20055A487A9D70E0EBF025D905",1)</f>
        <v>=DISPIMG("ID_F6CDBA20055A487A9D70E0EBF025D905",1)</v>
      </c>
      <c r="E443" s="18"/>
      <c r="F443" s="19"/>
      <c r="G443" s="67">
        <v>41</v>
      </c>
      <c r="H443" s="22">
        <v>41</v>
      </c>
      <c r="I443" s="19">
        <v>43</v>
      </c>
    </row>
    <row r="444" ht="100.15" customHeight="1" spans="1:9">
      <c r="A444" s="21" t="s">
        <v>862</v>
      </c>
      <c r="B444" s="41" t="s">
        <v>863</v>
      </c>
      <c r="C444" s="16" t="s">
        <v>87</v>
      </c>
      <c r="D444" s="42" t="str">
        <f>_xlfn.DISPIMG("ID_0994A5CF1C0D4D58A662A30070626C76",1)</f>
        <v>=DISPIMG("ID_0994A5CF1C0D4D58A662A30070626C76",1)</v>
      </c>
      <c r="E444" s="18"/>
      <c r="F444" s="19"/>
      <c r="G444" s="67">
        <v>54</v>
      </c>
      <c r="H444" s="22">
        <v>54</v>
      </c>
      <c r="I444" s="19">
        <v>56</v>
      </c>
    </row>
    <row r="445" ht="60" customHeight="1" spans="1:9">
      <c r="A445" s="21" t="s">
        <v>864</v>
      </c>
      <c r="B445" s="41" t="s">
        <v>865</v>
      </c>
      <c r="C445" s="16"/>
      <c r="D445" s="42" t="str">
        <f>_xlfn.DISPIMG("ID_893EA3D6C1624F0F94F92FA449339D25",1)</f>
        <v>=DISPIMG("ID_893EA3D6C1624F0F94F92FA449339D25",1)</v>
      </c>
      <c r="E445" s="18"/>
      <c r="F445" s="19"/>
      <c r="G445" s="18">
        <f>I445+2</f>
        <v>19</v>
      </c>
      <c r="H445" s="22">
        <v>15</v>
      </c>
      <c r="I445" s="19">
        <v>17</v>
      </c>
    </row>
    <row r="446" ht="60" customHeight="1" spans="1:9">
      <c r="A446" s="21" t="s">
        <v>866</v>
      </c>
      <c r="B446" s="41" t="s">
        <v>867</v>
      </c>
      <c r="C446" s="16"/>
      <c r="D446" s="42" t="str">
        <f>_xlfn.DISPIMG("ID_B8FAC1FF5E37482E8FD52F84344A04BE",1)</f>
        <v>=DISPIMG("ID_B8FAC1FF5E37482E8FD52F84344A04BE",1)</v>
      </c>
      <c r="E446" s="18"/>
      <c r="F446" s="19"/>
      <c r="G446" s="18">
        <f t="shared" ref="G446:G477" si="3">I446+2</f>
        <v>19</v>
      </c>
      <c r="H446" s="22">
        <v>15</v>
      </c>
      <c r="I446" s="19">
        <v>17</v>
      </c>
    </row>
    <row r="447" ht="60" customHeight="1" spans="1:9">
      <c r="A447" s="21" t="s">
        <v>868</v>
      </c>
      <c r="B447" s="41" t="s">
        <v>869</v>
      </c>
      <c r="C447" s="16"/>
      <c r="D447" s="42" t="str">
        <f>_xlfn.DISPIMG("ID_C57BABA4B8384243A6C9BF35B6A5F0D7",1)</f>
        <v>=DISPIMG("ID_C57BABA4B8384243A6C9BF35B6A5F0D7",1)</v>
      </c>
      <c r="E447" s="18"/>
      <c r="F447" s="19"/>
      <c r="G447" s="18">
        <f t="shared" si="3"/>
        <v>19</v>
      </c>
      <c r="H447" s="22">
        <v>15</v>
      </c>
      <c r="I447" s="19">
        <v>17</v>
      </c>
    </row>
    <row r="448" ht="60" customHeight="1" spans="1:9">
      <c r="A448" s="21" t="s">
        <v>870</v>
      </c>
      <c r="B448" s="41" t="s">
        <v>871</v>
      </c>
      <c r="C448" s="16"/>
      <c r="D448" s="42" t="str">
        <f>_xlfn.DISPIMG("ID_47FB3281BCE44305AE719C969438AA89",1)</f>
        <v>=DISPIMG("ID_47FB3281BCE44305AE719C969438AA89",1)</v>
      </c>
      <c r="E448" s="18"/>
      <c r="F448" s="19"/>
      <c r="G448" s="18">
        <f t="shared" si="3"/>
        <v>19</v>
      </c>
      <c r="H448" s="22">
        <v>15</v>
      </c>
      <c r="I448" s="19">
        <v>17</v>
      </c>
    </row>
    <row r="449" ht="60" customHeight="1" spans="1:9">
      <c r="A449" s="21" t="s">
        <v>872</v>
      </c>
      <c r="B449" s="41" t="s">
        <v>873</v>
      </c>
      <c r="C449" s="16"/>
      <c r="D449" s="42" t="str">
        <f>_xlfn.DISPIMG("ID_7555F2F5BD9547A5AC29D00B13642348",1)</f>
        <v>=DISPIMG("ID_7555F2F5BD9547A5AC29D00B13642348",1)</v>
      </c>
      <c r="E449" s="18"/>
      <c r="F449" s="19"/>
      <c r="G449" s="18">
        <f t="shared" si="3"/>
        <v>19</v>
      </c>
      <c r="H449" s="22">
        <v>15</v>
      </c>
      <c r="I449" s="19">
        <v>17</v>
      </c>
    </row>
    <row r="450" ht="60" customHeight="1" spans="1:9">
      <c r="A450" s="21" t="s">
        <v>874</v>
      </c>
      <c r="B450" s="41" t="s">
        <v>875</v>
      </c>
      <c r="C450" s="16"/>
      <c r="D450" s="42" t="str">
        <f>_xlfn.DISPIMG("ID_3395C1FBE23C4229B4003655E32E512D",1)</f>
        <v>=DISPIMG("ID_3395C1FBE23C4229B4003655E32E512D",1)</v>
      </c>
      <c r="E450" s="18"/>
      <c r="F450" s="19"/>
      <c r="G450" s="18">
        <f t="shared" si="3"/>
        <v>19</v>
      </c>
      <c r="H450" s="22">
        <v>15</v>
      </c>
      <c r="I450" s="19">
        <v>17</v>
      </c>
    </row>
    <row r="451" ht="60" customHeight="1" spans="1:9">
      <c r="A451" s="21" t="s">
        <v>876</v>
      </c>
      <c r="B451" s="41" t="s">
        <v>877</v>
      </c>
      <c r="C451" s="16"/>
      <c r="D451" s="42" t="str">
        <f>_xlfn.DISPIMG("ID_BB72BB67C042480B8FFCAEF0DFCBCD7C",1)</f>
        <v>=DISPIMG("ID_BB72BB67C042480B8FFCAEF0DFCBCD7C",1)</v>
      </c>
      <c r="E451" s="18"/>
      <c r="F451" s="19"/>
      <c r="G451" s="18">
        <f t="shared" si="3"/>
        <v>19</v>
      </c>
      <c r="H451" s="22">
        <v>15</v>
      </c>
      <c r="I451" s="19">
        <v>17</v>
      </c>
    </row>
    <row r="452" ht="60" customHeight="1" spans="1:9">
      <c r="A452" s="21" t="s">
        <v>878</v>
      </c>
      <c r="B452" s="41" t="s">
        <v>879</v>
      </c>
      <c r="C452" s="16"/>
      <c r="D452" s="42" t="str">
        <f>_xlfn.DISPIMG("ID_8E93E50904FE4A839C4378D7A46992F3",1)</f>
        <v>=DISPIMG("ID_8E93E50904FE4A839C4378D7A46992F3",1)</v>
      </c>
      <c r="E452" s="18"/>
      <c r="F452" s="19"/>
      <c r="G452" s="18">
        <f t="shared" si="3"/>
        <v>19</v>
      </c>
      <c r="H452" s="22">
        <v>15</v>
      </c>
      <c r="I452" s="19">
        <v>17</v>
      </c>
    </row>
    <row r="453" ht="60" customHeight="1" spans="1:9">
      <c r="A453" s="21" t="s">
        <v>880</v>
      </c>
      <c r="B453" s="41" t="s">
        <v>881</v>
      </c>
      <c r="C453" s="16"/>
      <c r="D453" s="42" t="str">
        <f>_xlfn.DISPIMG("ID_C070A581E6924FC581D75F1DF5D9345A",1)</f>
        <v>=DISPIMG("ID_C070A581E6924FC581D75F1DF5D9345A",1)</v>
      </c>
      <c r="E453" s="18"/>
      <c r="F453" s="19"/>
      <c r="G453" s="18">
        <f t="shared" si="3"/>
        <v>19</v>
      </c>
      <c r="H453" s="22">
        <v>15</v>
      </c>
      <c r="I453" s="19">
        <v>17</v>
      </c>
    </row>
    <row r="454" ht="60" customHeight="1" spans="1:9">
      <c r="A454" s="21" t="s">
        <v>882</v>
      </c>
      <c r="B454" s="41" t="s">
        <v>883</v>
      </c>
      <c r="C454" s="16"/>
      <c r="D454" s="42" t="str">
        <f>_xlfn.DISPIMG("ID_DEA4DE06011441BDB6374EA1764F2EA8",1)</f>
        <v>=DISPIMG("ID_DEA4DE06011441BDB6374EA1764F2EA8",1)</v>
      </c>
      <c r="E454" s="18"/>
      <c r="F454" s="19"/>
      <c r="G454" s="18">
        <f t="shared" si="3"/>
        <v>19</v>
      </c>
      <c r="H454" s="22">
        <v>15</v>
      </c>
      <c r="I454" s="19">
        <v>17</v>
      </c>
    </row>
    <row r="455" ht="60" customHeight="1" spans="1:9">
      <c r="A455" s="21" t="s">
        <v>884</v>
      </c>
      <c r="B455" s="41" t="s">
        <v>885</v>
      </c>
      <c r="C455" s="16"/>
      <c r="D455" s="42" t="str">
        <f>_xlfn.DISPIMG("ID_348CFC0B1B564BDC90B3671344ABCDDB",1)</f>
        <v>=DISPIMG("ID_348CFC0B1B564BDC90B3671344ABCDDB",1)</v>
      </c>
      <c r="E455" s="18"/>
      <c r="F455" s="19"/>
      <c r="G455" s="18">
        <f t="shared" si="3"/>
        <v>19</v>
      </c>
      <c r="H455" s="22">
        <v>15</v>
      </c>
      <c r="I455" s="19">
        <v>17</v>
      </c>
    </row>
    <row r="456" ht="60" customHeight="1" spans="1:9">
      <c r="A456" s="21" t="s">
        <v>886</v>
      </c>
      <c r="B456" s="41" t="s">
        <v>887</v>
      </c>
      <c r="C456" s="16"/>
      <c r="D456" s="42" t="str">
        <f>_xlfn.DISPIMG("ID_665E053697194534B40BE03E70231A62",1)</f>
        <v>=DISPIMG("ID_665E053697194534B40BE03E70231A62",1)</v>
      </c>
      <c r="E456" s="18"/>
      <c r="F456" s="19"/>
      <c r="G456" s="18">
        <f t="shared" si="3"/>
        <v>19</v>
      </c>
      <c r="H456" s="22">
        <v>15</v>
      </c>
      <c r="I456" s="19">
        <v>17</v>
      </c>
    </row>
    <row r="457" ht="60" customHeight="1" spans="1:9">
      <c r="A457" s="21" t="s">
        <v>888</v>
      </c>
      <c r="B457" s="41" t="s">
        <v>889</v>
      </c>
      <c r="C457" s="16"/>
      <c r="D457" s="42" t="str">
        <f>_xlfn.DISPIMG("ID_777F0FBC795E4225B0D216EAD36A90C3",1)</f>
        <v>=DISPIMG("ID_777F0FBC795E4225B0D216EAD36A90C3",1)</v>
      </c>
      <c r="E457" s="18"/>
      <c r="F457" s="19"/>
      <c r="G457" s="18">
        <f t="shared" si="3"/>
        <v>26</v>
      </c>
      <c r="H457" s="22">
        <v>22</v>
      </c>
      <c r="I457" s="19">
        <v>24</v>
      </c>
    </row>
    <row r="458" ht="60" customHeight="1" spans="1:9">
      <c r="A458" s="21" t="s">
        <v>890</v>
      </c>
      <c r="B458" s="41" t="s">
        <v>891</v>
      </c>
      <c r="C458" s="16"/>
      <c r="D458" s="42" t="str">
        <f>_xlfn.DISPIMG("ID_06031D61637C4C6996993807A3EC9BD0",1)</f>
        <v>=DISPIMG("ID_06031D61637C4C6996993807A3EC9BD0",1)</v>
      </c>
      <c r="E458" s="18"/>
      <c r="F458" s="19"/>
      <c r="G458" s="18">
        <f t="shared" si="3"/>
        <v>47</v>
      </c>
      <c r="H458" s="22">
        <v>43</v>
      </c>
      <c r="I458" s="19">
        <v>45</v>
      </c>
    </row>
    <row r="459" ht="60" customHeight="1" spans="1:9">
      <c r="A459" s="21" t="s">
        <v>892</v>
      </c>
      <c r="B459" s="41" t="s">
        <v>893</v>
      </c>
      <c r="C459" s="16"/>
      <c r="D459" s="42" t="str">
        <f>_xlfn.DISPIMG("ID_B16D383B49134763AAEEC62D6FFE7A1A",1)</f>
        <v>=DISPIMG("ID_B16D383B49134763AAEEC62D6FFE7A1A",1)</v>
      </c>
      <c r="E459" s="18"/>
      <c r="F459" s="19"/>
      <c r="G459" s="18">
        <f t="shared" si="3"/>
        <v>27</v>
      </c>
      <c r="H459" s="22">
        <v>23</v>
      </c>
      <c r="I459" s="19">
        <v>25</v>
      </c>
    </row>
    <row r="460" ht="60" customHeight="1" spans="1:9">
      <c r="A460" s="21" t="s">
        <v>894</v>
      </c>
      <c r="B460" s="41" t="s">
        <v>895</v>
      </c>
      <c r="C460" s="16"/>
      <c r="D460" s="42" t="str">
        <f>_xlfn.DISPIMG("ID_6DB9DCB47B6B4B97AE061129CFE8D7F6",1)</f>
        <v>=DISPIMG("ID_6DB9DCB47B6B4B97AE061129CFE8D7F6",1)</v>
      </c>
      <c r="E460" s="18"/>
      <c r="F460" s="19"/>
      <c r="G460" s="18">
        <f t="shared" si="3"/>
        <v>45</v>
      </c>
      <c r="H460" s="22">
        <v>41</v>
      </c>
      <c r="I460" s="19">
        <v>43</v>
      </c>
    </row>
    <row r="461" ht="60" customHeight="1" spans="1:9">
      <c r="A461" s="21" t="s">
        <v>896</v>
      </c>
      <c r="B461" s="41" t="s">
        <v>897</v>
      </c>
      <c r="C461" s="16"/>
      <c r="D461" s="42" t="str">
        <f>_xlfn.DISPIMG("ID_452685146E934F4781CABFFD7DE41E3B",1)</f>
        <v>=DISPIMG("ID_452685146E934F4781CABFFD7DE41E3B",1)</v>
      </c>
      <c r="E461" s="18"/>
      <c r="F461" s="19"/>
      <c r="G461" s="18">
        <f t="shared" si="3"/>
        <v>45</v>
      </c>
      <c r="H461" s="22">
        <v>41</v>
      </c>
      <c r="I461" s="19">
        <v>43</v>
      </c>
    </row>
    <row r="462" ht="60" customHeight="1" spans="1:9">
      <c r="A462" s="21" t="s">
        <v>898</v>
      </c>
      <c r="B462" s="41" t="s">
        <v>899</v>
      </c>
      <c r="C462" s="16"/>
      <c r="D462" s="42" t="str">
        <f>_xlfn.DISPIMG("ID_E8671FC89F984A0C81EE0F9B521C719C",1)</f>
        <v>=DISPIMG("ID_E8671FC89F984A0C81EE0F9B521C719C",1)</v>
      </c>
      <c r="E462" s="18"/>
      <c r="F462" s="19"/>
      <c r="G462" s="18">
        <f t="shared" si="3"/>
        <v>45</v>
      </c>
      <c r="H462" s="22">
        <v>41</v>
      </c>
      <c r="I462" s="19">
        <v>43</v>
      </c>
    </row>
    <row r="463" ht="60" customHeight="1" spans="1:9">
      <c r="A463" s="21" t="s">
        <v>900</v>
      </c>
      <c r="B463" s="41" t="s">
        <v>901</v>
      </c>
      <c r="C463" s="16"/>
      <c r="D463" s="42" t="str">
        <f>_xlfn.DISPIMG("ID_4D198082E5DB40E580EC04902692A781",1)</f>
        <v>=DISPIMG("ID_4D198082E5DB40E580EC04902692A781",1)</v>
      </c>
      <c r="E463" s="18"/>
      <c r="F463" s="19"/>
      <c r="G463" s="18">
        <f t="shared" si="3"/>
        <v>45</v>
      </c>
      <c r="H463" s="22">
        <v>41</v>
      </c>
      <c r="I463" s="19">
        <v>43</v>
      </c>
    </row>
    <row r="464" ht="60" customHeight="1" spans="1:9">
      <c r="A464" s="21" t="s">
        <v>902</v>
      </c>
      <c r="B464" s="41" t="s">
        <v>903</v>
      </c>
      <c r="C464" s="16"/>
      <c r="D464" s="42" t="str">
        <f>_xlfn.DISPIMG("ID_33C7AAED33C3493490F6EA83E1123A07",1)</f>
        <v>=DISPIMG("ID_33C7AAED33C3493490F6EA83E1123A07",1)</v>
      </c>
      <c r="E464" s="18"/>
      <c r="F464" s="19"/>
      <c r="G464" s="18">
        <f t="shared" si="3"/>
        <v>45</v>
      </c>
      <c r="H464" s="22">
        <v>41</v>
      </c>
      <c r="I464" s="19">
        <v>43</v>
      </c>
    </row>
    <row r="465" ht="60" customHeight="1" spans="1:9">
      <c r="A465" s="21" t="s">
        <v>904</v>
      </c>
      <c r="B465" s="41" t="s">
        <v>905</v>
      </c>
      <c r="C465" s="16"/>
      <c r="D465" s="42" t="str">
        <f>_xlfn.DISPIMG("ID_8AA00B31A96A4A1D80B27096D586F9D2",1)</f>
        <v>=DISPIMG("ID_8AA00B31A96A4A1D80B27096D586F9D2",1)</v>
      </c>
      <c r="E465" s="18"/>
      <c r="F465" s="19"/>
      <c r="G465" s="18">
        <f t="shared" si="3"/>
        <v>45</v>
      </c>
      <c r="H465" s="22">
        <v>41</v>
      </c>
      <c r="I465" s="19">
        <v>43</v>
      </c>
    </row>
    <row r="466" ht="60" customHeight="1" spans="1:9">
      <c r="A466" s="21" t="s">
        <v>906</v>
      </c>
      <c r="B466" s="41" t="s">
        <v>907</v>
      </c>
      <c r="C466" s="16"/>
      <c r="D466" s="42" t="str">
        <f>_xlfn.DISPIMG("ID_8ECEC7191C4B4AF78489CDF5B23134E6",1)</f>
        <v>=DISPIMG("ID_8ECEC7191C4B4AF78489CDF5B23134E6",1)</v>
      </c>
      <c r="E466" s="18"/>
      <c r="F466" s="19"/>
      <c r="G466" s="18">
        <f t="shared" si="3"/>
        <v>45</v>
      </c>
      <c r="H466" s="22">
        <v>41</v>
      </c>
      <c r="I466" s="19">
        <v>43</v>
      </c>
    </row>
    <row r="467" ht="60" customHeight="1" spans="1:9">
      <c r="A467" s="21" t="s">
        <v>908</v>
      </c>
      <c r="B467" s="41" t="s">
        <v>909</v>
      </c>
      <c r="C467" s="16"/>
      <c r="D467" s="42" t="str">
        <f>_xlfn.DISPIMG("ID_F06611155776449AB68134960D25FE1E",1)</f>
        <v>=DISPIMG("ID_F06611155776449AB68134960D25FE1E",1)</v>
      </c>
      <c r="E467" s="18"/>
      <c r="F467" s="19"/>
      <c r="G467" s="18">
        <f t="shared" si="3"/>
        <v>45</v>
      </c>
      <c r="H467" s="22">
        <v>41</v>
      </c>
      <c r="I467" s="19">
        <v>43</v>
      </c>
    </row>
    <row r="468" ht="60" customHeight="1" spans="1:9">
      <c r="A468" s="21" t="s">
        <v>910</v>
      </c>
      <c r="B468" s="41" t="s">
        <v>911</v>
      </c>
      <c r="C468" s="16"/>
      <c r="D468" s="42" t="str">
        <f>_xlfn.DISPIMG("ID_E6785769FEE8465293248147AA8AA9BC",1)</f>
        <v>=DISPIMG("ID_E6785769FEE8465293248147AA8AA9BC",1)</v>
      </c>
      <c r="E468" s="18"/>
      <c r="F468" s="19"/>
      <c r="G468" s="18">
        <f t="shared" si="3"/>
        <v>45</v>
      </c>
      <c r="H468" s="22">
        <v>41</v>
      </c>
      <c r="I468" s="19">
        <v>43</v>
      </c>
    </row>
    <row r="469" ht="60" customHeight="1" spans="1:9">
      <c r="A469" s="21" t="s">
        <v>912</v>
      </c>
      <c r="B469" s="41" t="s">
        <v>913</v>
      </c>
      <c r="C469" s="16"/>
      <c r="D469" s="42" t="str">
        <f>_xlfn.DISPIMG("ID_44162B303C5F40D6AF01D105AC8D63D2",1)</f>
        <v>=DISPIMG("ID_44162B303C5F40D6AF01D105AC8D63D2",1)</v>
      </c>
      <c r="E469" s="18"/>
      <c r="F469" s="19"/>
      <c r="G469" s="18">
        <f t="shared" si="3"/>
        <v>45</v>
      </c>
      <c r="H469" s="22">
        <v>41</v>
      </c>
      <c r="I469" s="19">
        <v>43</v>
      </c>
    </row>
    <row r="470" ht="60" customHeight="1" spans="1:9">
      <c r="A470" s="21" t="s">
        <v>914</v>
      </c>
      <c r="B470" s="41" t="s">
        <v>915</v>
      </c>
      <c r="C470" s="16"/>
      <c r="D470" s="42" t="str">
        <f>_xlfn.DISPIMG("ID_35F76B35A3B54C719D8C00B708DC4B41",1)</f>
        <v>=DISPIMG("ID_35F76B35A3B54C719D8C00B708DC4B41",1)</v>
      </c>
      <c r="E470" s="18"/>
      <c r="F470" s="19"/>
      <c r="G470" s="18">
        <f t="shared" si="3"/>
        <v>45</v>
      </c>
      <c r="H470" s="22">
        <v>41</v>
      </c>
      <c r="I470" s="19">
        <v>43</v>
      </c>
    </row>
    <row r="471" ht="60" customHeight="1" spans="1:9">
      <c r="A471" s="21" t="s">
        <v>916</v>
      </c>
      <c r="B471" s="41" t="s">
        <v>917</v>
      </c>
      <c r="C471" s="16"/>
      <c r="D471" s="42" t="str">
        <f>_xlfn.DISPIMG("ID_1F1012B9AC164A3F812A38ACAD1A8486",1)</f>
        <v>=DISPIMG("ID_1F1012B9AC164A3F812A38ACAD1A8486",1)</v>
      </c>
      <c r="E471" s="18"/>
      <c r="F471" s="19"/>
      <c r="G471" s="18">
        <f t="shared" si="3"/>
        <v>30</v>
      </c>
      <c r="H471" s="22">
        <v>26</v>
      </c>
      <c r="I471" s="19">
        <v>28</v>
      </c>
    </row>
    <row r="472" ht="60" customHeight="1" spans="1:9">
      <c r="A472" s="21" t="s">
        <v>918</v>
      </c>
      <c r="B472" s="41" t="s">
        <v>919</v>
      </c>
      <c r="C472" s="16"/>
      <c r="D472" s="42" t="str">
        <f>_xlfn.DISPIMG("ID_C62AC41978FB4B489946EBC63E59ABA1",1)</f>
        <v>=DISPIMG("ID_C62AC41978FB4B489946EBC63E59ABA1",1)</v>
      </c>
      <c r="E472" s="18"/>
      <c r="F472" s="19"/>
      <c r="G472" s="18">
        <f t="shared" si="3"/>
        <v>45</v>
      </c>
      <c r="H472" s="22">
        <v>41</v>
      </c>
      <c r="I472" s="19">
        <v>43</v>
      </c>
    </row>
    <row r="473" ht="60" customHeight="1" spans="1:9">
      <c r="A473" s="21" t="s">
        <v>920</v>
      </c>
      <c r="B473" s="41" t="s">
        <v>921</v>
      </c>
      <c r="C473" s="16"/>
      <c r="D473" s="42" t="str">
        <f>_xlfn.DISPIMG("ID_4F03299A64CA4E5586176DAE7A278B11",1)</f>
        <v>=DISPIMG("ID_4F03299A64CA4E5586176DAE7A278B11",1)</v>
      </c>
      <c r="E473" s="18"/>
      <c r="F473" s="19"/>
      <c r="G473" s="18">
        <f t="shared" si="3"/>
        <v>45</v>
      </c>
      <c r="H473" s="22">
        <v>41</v>
      </c>
      <c r="I473" s="19">
        <v>43</v>
      </c>
    </row>
    <row r="474" ht="60" customHeight="1" spans="1:9">
      <c r="A474" s="21" t="s">
        <v>922</v>
      </c>
      <c r="B474" s="41" t="s">
        <v>923</v>
      </c>
      <c r="C474" s="16"/>
      <c r="D474" s="42" t="str">
        <f>_xlfn.DISPIMG("ID_0F76F57DD19548DA99C6532531E3A2DE",1)</f>
        <v>=DISPIMG("ID_0F76F57DD19548DA99C6532531E3A2DE",1)</v>
      </c>
      <c r="E474" s="18"/>
      <c r="F474" s="19"/>
      <c r="G474" s="18">
        <f t="shared" si="3"/>
        <v>45</v>
      </c>
      <c r="H474" s="22">
        <v>41</v>
      </c>
      <c r="I474" s="19">
        <v>43</v>
      </c>
    </row>
    <row r="475" ht="60" customHeight="1" spans="1:9">
      <c r="A475" s="21" t="s">
        <v>924</v>
      </c>
      <c r="B475" s="41" t="s">
        <v>925</v>
      </c>
      <c r="C475" s="16"/>
      <c r="D475" s="42" t="str">
        <f>_xlfn.DISPIMG("ID_E8E8E06D2AE04060913CCE79BD941E7B",1)</f>
        <v>=DISPIMG("ID_E8E8E06D2AE04060913CCE79BD941E7B",1)</v>
      </c>
      <c r="E475" s="18"/>
      <c r="F475" s="19"/>
      <c r="G475" s="18">
        <f t="shared" si="3"/>
        <v>45</v>
      </c>
      <c r="H475" s="22">
        <v>41</v>
      </c>
      <c r="I475" s="19">
        <v>43</v>
      </c>
    </row>
    <row r="476" ht="60" customHeight="1" spans="1:9">
      <c r="A476" s="21" t="s">
        <v>926</v>
      </c>
      <c r="B476" s="41" t="s">
        <v>927</v>
      </c>
      <c r="C476" s="16"/>
      <c r="D476" s="42" t="str">
        <f>_xlfn.DISPIMG("ID_F28A13934B644E64933A1D46696D8777",1)</f>
        <v>=DISPIMG("ID_F28A13934B644E64933A1D46696D8777",1)</v>
      </c>
      <c r="E476" s="18"/>
      <c r="F476" s="19"/>
      <c r="G476" s="18">
        <f t="shared" si="3"/>
        <v>45</v>
      </c>
      <c r="H476" s="22">
        <v>41</v>
      </c>
      <c r="I476" s="19">
        <v>43</v>
      </c>
    </row>
    <row r="477" ht="60" customHeight="1" spans="1:9">
      <c r="A477" s="21" t="s">
        <v>928</v>
      </c>
      <c r="B477" s="41" t="s">
        <v>929</v>
      </c>
      <c r="C477" s="16"/>
      <c r="D477" s="42" t="str">
        <f>_xlfn.DISPIMG("ID_8F0F8880A2784D859731A300F71C2289",1)</f>
        <v>=DISPIMG("ID_8F0F8880A2784D859731A300F71C2289",1)</v>
      </c>
      <c r="E477" s="18"/>
      <c r="F477" s="19"/>
      <c r="G477" s="18">
        <f t="shared" si="3"/>
        <v>45</v>
      </c>
      <c r="H477" s="22">
        <v>41</v>
      </c>
      <c r="I477" s="19">
        <v>43</v>
      </c>
    </row>
    <row r="478" ht="60" customHeight="1" spans="1:9">
      <c r="A478" s="21" t="s">
        <v>930</v>
      </c>
      <c r="B478" s="41" t="s">
        <v>931</v>
      </c>
      <c r="C478" s="16"/>
      <c r="D478" s="42" t="str">
        <f>_xlfn.DISPIMG("ID_64E6E9B9A1F7437A8C2117175872F240",1)</f>
        <v>=DISPIMG("ID_64E6E9B9A1F7437A8C2117175872F240",1)</v>
      </c>
      <c r="E478" s="18"/>
      <c r="F478" s="19"/>
      <c r="G478" s="18">
        <f t="shared" ref="G478:G516" si="4">I478+2</f>
        <v>45</v>
      </c>
      <c r="H478" s="22">
        <v>41</v>
      </c>
      <c r="I478" s="19">
        <v>43</v>
      </c>
    </row>
    <row r="479" ht="60" customHeight="1" spans="1:9">
      <c r="A479" s="21" t="s">
        <v>932</v>
      </c>
      <c r="B479" s="41" t="s">
        <v>933</v>
      </c>
      <c r="C479" s="16"/>
      <c r="D479" s="42" t="str">
        <f>_xlfn.DISPIMG("ID_198A17309D5B40C98F5B1861C4AFE242",1)</f>
        <v>=DISPIMG("ID_198A17309D5B40C98F5B1861C4AFE242",1)</v>
      </c>
      <c r="E479" s="18"/>
      <c r="F479" s="19"/>
      <c r="G479" s="18">
        <f t="shared" si="4"/>
        <v>45</v>
      </c>
      <c r="H479" s="22">
        <v>41</v>
      </c>
      <c r="I479" s="19">
        <v>43</v>
      </c>
    </row>
    <row r="480" ht="60" customHeight="1" spans="1:9">
      <c r="A480" s="21" t="s">
        <v>934</v>
      </c>
      <c r="B480" s="41" t="s">
        <v>935</v>
      </c>
      <c r="C480" s="16"/>
      <c r="D480" s="42" t="str">
        <f>_xlfn.DISPIMG("ID_44A1211461F7438EB93B09C720548E5F",1)</f>
        <v>=DISPIMG("ID_44A1211461F7438EB93B09C720548E5F",1)</v>
      </c>
      <c r="E480" s="18"/>
      <c r="F480" s="19"/>
      <c r="G480" s="18">
        <f t="shared" si="4"/>
        <v>45</v>
      </c>
      <c r="H480" s="22">
        <v>41</v>
      </c>
      <c r="I480" s="19">
        <v>43</v>
      </c>
    </row>
    <row r="481" ht="60" customHeight="1" spans="1:9">
      <c r="A481" s="21" t="s">
        <v>936</v>
      </c>
      <c r="B481" s="41" t="s">
        <v>937</v>
      </c>
      <c r="C481" s="16"/>
      <c r="D481" s="42" t="str">
        <f>_xlfn.DISPIMG("ID_A852180EBAAE4FDAAAA69400F48EB927",1)</f>
        <v>=DISPIMG("ID_A852180EBAAE4FDAAAA69400F48EB927",1)</v>
      </c>
      <c r="E481" s="18"/>
      <c r="F481" s="19"/>
      <c r="G481" s="18">
        <f t="shared" si="4"/>
        <v>45</v>
      </c>
      <c r="H481" s="22">
        <v>41</v>
      </c>
      <c r="I481" s="19">
        <v>43</v>
      </c>
    </row>
    <row r="482" ht="60" customHeight="1" spans="1:9">
      <c r="A482" s="21" t="s">
        <v>938</v>
      </c>
      <c r="B482" s="41" t="s">
        <v>939</v>
      </c>
      <c r="C482" s="16"/>
      <c r="D482" s="42" t="str">
        <f>_xlfn.DISPIMG("ID_DE9818D253334E89B821FE0A680403FD",1)</f>
        <v>=DISPIMG("ID_DE9818D253334E89B821FE0A680403FD",1)</v>
      </c>
      <c r="E482" s="18"/>
      <c r="F482" s="19"/>
      <c r="G482" s="18">
        <f t="shared" si="4"/>
        <v>45</v>
      </c>
      <c r="H482" s="22">
        <v>41</v>
      </c>
      <c r="I482" s="19">
        <v>43</v>
      </c>
    </row>
    <row r="483" ht="60" customHeight="1" spans="1:9">
      <c r="A483" s="21" t="s">
        <v>940</v>
      </c>
      <c r="B483" s="41" t="s">
        <v>941</v>
      </c>
      <c r="C483" s="16"/>
      <c r="D483" s="42" t="str">
        <f>_xlfn.DISPIMG("ID_D58BCAD2C0B04F3A98D1270D1078BE36",1)</f>
        <v>=DISPIMG("ID_D58BCAD2C0B04F3A98D1270D1078BE36",1)</v>
      </c>
      <c r="E483" s="18"/>
      <c r="F483" s="19"/>
      <c r="G483" s="18">
        <f t="shared" si="4"/>
        <v>45</v>
      </c>
      <c r="H483" s="22">
        <v>41</v>
      </c>
      <c r="I483" s="19">
        <v>43</v>
      </c>
    </row>
    <row r="484" ht="60" customHeight="1" spans="1:9">
      <c r="A484" s="21" t="s">
        <v>942</v>
      </c>
      <c r="B484" s="41" t="s">
        <v>943</v>
      </c>
      <c r="C484" s="16"/>
      <c r="D484" s="42" t="str">
        <f>_xlfn.DISPIMG("ID_F6BD381286F24A33A29396D8437EF1EF",1)</f>
        <v>=DISPIMG("ID_F6BD381286F24A33A29396D8437EF1EF",1)</v>
      </c>
      <c r="E484" s="18"/>
      <c r="F484" s="19"/>
      <c r="G484" s="18">
        <f t="shared" si="4"/>
        <v>45</v>
      </c>
      <c r="H484" s="22">
        <v>41</v>
      </c>
      <c r="I484" s="19">
        <v>43</v>
      </c>
    </row>
    <row r="485" ht="60" customHeight="1" spans="1:9">
      <c r="A485" s="21" t="s">
        <v>944</v>
      </c>
      <c r="B485" s="41" t="s">
        <v>945</v>
      </c>
      <c r="C485" s="16"/>
      <c r="D485" s="42" t="str">
        <f>_xlfn.DISPIMG("ID_8CDFA53F49324708A78BB3C947C1AE10",1)</f>
        <v>=DISPIMG("ID_8CDFA53F49324708A78BB3C947C1AE10",1)</v>
      </c>
      <c r="E485" s="18"/>
      <c r="F485" s="19"/>
      <c r="G485" s="18">
        <f t="shared" si="4"/>
        <v>45</v>
      </c>
      <c r="H485" s="22">
        <v>41</v>
      </c>
      <c r="I485" s="19">
        <v>43</v>
      </c>
    </row>
    <row r="486" ht="60" customHeight="1" spans="1:9">
      <c r="A486" s="21" t="s">
        <v>946</v>
      </c>
      <c r="B486" s="41" t="s">
        <v>947</v>
      </c>
      <c r="C486" s="16"/>
      <c r="D486" s="42" t="str">
        <f>_xlfn.DISPIMG("ID_C9D309A6D8C449908F41DEB746EC4BB4",1)</f>
        <v>=DISPIMG("ID_C9D309A6D8C449908F41DEB746EC4BB4",1)</v>
      </c>
      <c r="E486" s="18"/>
      <c r="F486" s="19"/>
      <c r="G486" s="18">
        <f t="shared" si="4"/>
        <v>45</v>
      </c>
      <c r="H486" s="22">
        <v>41</v>
      </c>
      <c r="I486" s="19">
        <v>43</v>
      </c>
    </row>
    <row r="487" ht="60" customHeight="1" spans="1:9">
      <c r="A487" s="21" t="s">
        <v>948</v>
      </c>
      <c r="B487" s="41" t="s">
        <v>949</v>
      </c>
      <c r="C487" s="16"/>
      <c r="D487" s="42" t="str">
        <f>_xlfn.DISPIMG("ID_080E2D7D4A82486996D07F6A843A35AB",1)</f>
        <v>=DISPIMG("ID_080E2D7D4A82486996D07F6A843A35AB",1)</v>
      </c>
      <c r="E487" s="18"/>
      <c r="F487" s="19"/>
      <c r="G487" s="18">
        <f t="shared" si="4"/>
        <v>45</v>
      </c>
      <c r="H487" s="22">
        <v>41</v>
      </c>
      <c r="I487" s="19">
        <v>43</v>
      </c>
    </row>
    <row r="488" ht="60" customHeight="1" spans="1:9">
      <c r="A488" s="21" t="s">
        <v>950</v>
      </c>
      <c r="B488" s="41" t="s">
        <v>951</v>
      </c>
      <c r="C488" s="16"/>
      <c r="D488" s="42" t="str">
        <f>_xlfn.DISPIMG("ID_E0478A531A6B4369B80612F400C14ACE",1)</f>
        <v>=DISPIMG("ID_E0478A531A6B4369B80612F400C14ACE",1)</v>
      </c>
      <c r="E488" s="18"/>
      <c r="F488" s="19"/>
      <c r="G488" s="18">
        <f t="shared" si="4"/>
        <v>45</v>
      </c>
      <c r="H488" s="22">
        <v>41</v>
      </c>
      <c r="I488" s="19">
        <v>43</v>
      </c>
    </row>
    <row r="489" ht="60" customHeight="1" spans="1:9">
      <c r="A489" s="21" t="s">
        <v>952</v>
      </c>
      <c r="B489" s="41" t="s">
        <v>953</v>
      </c>
      <c r="C489" s="16"/>
      <c r="D489" s="42" t="str">
        <f>_xlfn.DISPIMG("ID_BDCCE966D80A45E0AD4B9B8C066D20FF",1)</f>
        <v>=DISPIMG("ID_BDCCE966D80A45E0AD4B9B8C066D20FF",1)</v>
      </c>
      <c r="E489" s="18"/>
      <c r="F489" s="19"/>
      <c r="G489" s="18">
        <f t="shared" si="4"/>
        <v>45</v>
      </c>
      <c r="H489" s="22">
        <v>41</v>
      </c>
      <c r="I489" s="19">
        <v>43</v>
      </c>
    </row>
    <row r="490" ht="60" customHeight="1" spans="1:9">
      <c r="A490" s="21" t="s">
        <v>954</v>
      </c>
      <c r="B490" s="41" t="s">
        <v>955</v>
      </c>
      <c r="C490" s="16"/>
      <c r="D490" s="42" t="str">
        <f>_xlfn.DISPIMG("ID_5A34BB1F23E041F38456D5DE6127FAD2",1)</f>
        <v>=DISPIMG("ID_5A34BB1F23E041F38456D5DE6127FAD2",1)</v>
      </c>
      <c r="E490" s="18"/>
      <c r="F490" s="19"/>
      <c r="G490" s="18">
        <f t="shared" si="4"/>
        <v>45</v>
      </c>
      <c r="H490" s="22">
        <v>41</v>
      </c>
      <c r="I490" s="19">
        <v>43</v>
      </c>
    </row>
    <row r="491" ht="60" customHeight="1" spans="1:9">
      <c r="A491" s="21" t="s">
        <v>956</v>
      </c>
      <c r="B491" s="41" t="s">
        <v>957</v>
      </c>
      <c r="C491" s="16"/>
      <c r="D491" s="42" t="str">
        <f>_xlfn.DISPIMG("ID_BFBB2569AA73439E8F93908FA6594478",1)</f>
        <v>=DISPIMG("ID_BFBB2569AA73439E8F93908FA6594478",1)</v>
      </c>
      <c r="E491" s="18"/>
      <c r="F491" s="19"/>
      <c r="G491" s="18">
        <f t="shared" si="4"/>
        <v>45</v>
      </c>
      <c r="H491" s="22">
        <v>41</v>
      </c>
      <c r="I491" s="19">
        <v>43</v>
      </c>
    </row>
    <row r="492" ht="60" customHeight="1" spans="1:9">
      <c r="A492" s="21" t="s">
        <v>958</v>
      </c>
      <c r="B492" s="41" t="s">
        <v>959</v>
      </c>
      <c r="C492" s="16"/>
      <c r="D492" s="42" t="str">
        <f>_xlfn.DISPIMG("ID_1D2D465C7D1E467589F923FA1A3F6F07",1)</f>
        <v>=DISPIMG("ID_1D2D465C7D1E467589F923FA1A3F6F07",1)</v>
      </c>
      <c r="E492" s="18"/>
      <c r="F492" s="19"/>
      <c r="G492" s="18">
        <f t="shared" si="4"/>
        <v>45</v>
      </c>
      <c r="H492" s="22">
        <v>41</v>
      </c>
      <c r="I492" s="19">
        <v>43</v>
      </c>
    </row>
    <row r="493" ht="60" customHeight="1" spans="1:9">
      <c r="A493" s="21" t="s">
        <v>960</v>
      </c>
      <c r="B493" s="41" t="s">
        <v>961</v>
      </c>
      <c r="C493" s="16"/>
      <c r="D493" s="42" t="str">
        <f>_xlfn.DISPIMG("ID_5C9AA607C45A41CAACF1685612A6FAA6",1)</f>
        <v>=DISPIMG("ID_5C9AA607C45A41CAACF1685612A6FAA6",1)</v>
      </c>
      <c r="E493" s="18"/>
      <c r="F493" s="19"/>
      <c r="G493" s="18">
        <f t="shared" si="4"/>
        <v>45</v>
      </c>
      <c r="H493" s="22">
        <v>41</v>
      </c>
      <c r="I493" s="19">
        <v>43</v>
      </c>
    </row>
    <row r="494" ht="60" customHeight="1" spans="1:9">
      <c r="A494" s="21" t="s">
        <v>962</v>
      </c>
      <c r="B494" s="41" t="s">
        <v>963</v>
      </c>
      <c r="C494" s="16"/>
      <c r="D494" s="42" t="str">
        <f>_xlfn.DISPIMG("ID_A2E8ED1608E7419A899C67FDBB6F8B23",1)</f>
        <v>=DISPIMG("ID_A2E8ED1608E7419A899C67FDBB6F8B23",1)</v>
      </c>
      <c r="E494" s="18"/>
      <c r="F494" s="19"/>
      <c r="G494" s="18">
        <f t="shared" si="4"/>
        <v>45</v>
      </c>
      <c r="H494" s="22">
        <v>41</v>
      </c>
      <c r="I494" s="19">
        <v>43</v>
      </c>
    </row>
    <row r="495" ht="60" customHeight="1" spans="1:9">
      <c r="A495" s="21" t="s">
        <v>964</v>
      </c>
      <c r="B495" s="41" t="s">
        <v>965</v>
      </c>
      <c r="C495" s="16"/>
      <c r="D495" s="42" t="str">
        <f>_xlfn.DISPIMG("ID_5ECE1BF8EA664CE0B97B6AF08D531B58",1)</f>
        <v>=DISPIMG("ID_5ECE1BF8EA664CE0B97B6AF08D531B58",1)</v>
      </c>
      <c r="E495" s="18"/>
      <c r="F495" s="19"/>
      <c r="G495" s="18">
        <f t="shared" si="4"/>
        <v>45</v>
      </c>
      <c r="H495" s="22">
        <v>41</v>
      </c>
      <c r="I495" s="19">
        <v>43</v>
      </c>
    </row>
    <row r="496" ht="60" customHeight="1" spans="1:9">
      <c r="A496" s="21" t="s">
        <v>966</v>
      </c>
      <c r="B496" s="41" t="s">
        <v>967</v>
      </c>
      <c r="C496" s="16"/>
      <c r="D496" s="42" t="str">
        <f>_xlfn.DISPIMG("ID_ABE479BADA81450EBD9569286948C75F",1)</f>
        <v>=DISPIMG("ID_ABE479BADA81450EBD9569286948C75F",1)</v>
      </c>
      <c r="E496" s="18"/>
      <c r="F496" s="19"/>
      <c r="G496" s="18">
        <f t="shared" si="4"/>
        <v>45</v>
      </c>
      <c r="H496" s="22">
        <v>41</v>
      </c>
      <c r="I496" s="19">
        <v>43</v>
      </c>
    </row>
    <row r="497" ht="60" customHeight="1" spans="1:9">
      <c r="A497" s="21" t="s">
        <v>968</v>
      </c>
      <c r="B497" s="41" t="s">
        <v>969</v>
      </c>
      <c r="C497" s="16"/>
      <c r="D497" s="42" t="str">
        <f>_xlfn.DISPIMG("ID_3748C4DE1AB142ECB39DD644C244D5EB",1)</f>
        <v>=DISPIMG("ID_3748C4DE1AB142ECB39DD644C244D5EB",1)</v>
      </c>
      <c r="E497" s="18"/>
      <c r="F497" s="19"/>
      <c r="G497" s="18">
        <f t="shared" si="4"/>
        <v>45</v>
      </c>
      <c r="H497" s="22">
        <v>41</v>
      </c>
      <c r="I497" s="19">
        <v>43</v>
      </c>
    </row>
    <row r="498" ht="60" customHeight="1" spans="1:9">
      <c r="A498" s="21" t="s">
        <v>970</v>
      </c>
      <c r="B498" s="41" t="s">
        <v>971</v>
      </c>
      <c r="C498" s="16"/>
      <c r="D498" s="42" t="str">
        <f>_xlfn.DISPIMG("ID_F7B737A6DAE043F7968A5034E328E6C1",1)</f>
        <v>=DISPIMG("ID_F7B737A6DAE043F7968A5034E328E6C1",1)</v>
      </c>
      <c r="E498" s="18"/>
      <c r="F498" s="19"/>
      <c r="G498" s="18">
        <f t="shared" si="4"/>
        <v>45</v>
      </c>
      <c r="H498" s="22">
        <v>41</v>
      </c>
      <c r="I498" s="19">
        <v>43</v>
      </c>
    </row>
    <row r="499" ht="60" customHeight="1" spans="1:9">
      <c r="A499" s="21" t="s">
        <v>972</v>
      </c>
      <c r="B499" s="41" t="s">
        <v>973</v>
      </c>
      <c r="C499" s="16"/>
      <c r="D499" s="42" t="str">
        <f>_xlfn.DISPIMG("ID_EC962045DEFA458BB12CD2C855D69E67",1)</f>
        <v>=DISPIMG("ID_EC962045DEFA458BB12CD2C855D69E67",1)</v>
      </c>
      <c r="E499" s="18"/>
      <c r="F499" s="19"/>
      <c r="G499" s="18">
        <f t="shared" si="4"/>
        <v>45</v>
      </c>
      <c r="H499" s="22">
        <v>41</v>
      </c>
      <c r="I499" s="19">
        <v>43</v>
      </c>
    </row>
    <row r="500" ht="60" customHeight="1" spans="1:9">
      <c r="A500" s="21" t="s">
        <v>974</v>
      </c>
      <c r="B500" s="41" t="s">
        <v>975</v>
      </c>
      <c r="C500" s="16"/>
      <c r="D500" s="42" t="str">
        <f>_xlfn.DISPIMG("ID_34AA283780A341E88E2387713CE07C15",1)</f>
        <v>=DISPIMG("ID_34AA283780A341E88E2387713CE07C15",1)</v>
      </c>
      <c r="E500" s="18"/>
      <c r="F500" s="19"/>
      <c r="G500" s="18">
        <f t="shared" si="4"/>
        <v>45</v>
      </c>
      <c r="H500" s="22">
        <v>41</v>
      </c>
      <c r="I500" s="19">
        <v>43</v>
      </c>
    </row>
    <row r="501" ht="60" customHeight="1" spans="1:9">
      <c r="A501" s="21" t="s">
        <v>976</v>
      </c>
      <c r="B501" s="41" t="s">
        <v>977</v>
      </c>
      <c r="C501" s="16"/>
      <c r="D501" s="42" t="str">
        <f>_xlfn.DISPIMG("ID_AC735189D66749B4B3D737BE628564FF",1)</f>
        <v>=DISPIMG("ID_AC735189D66749B4B3D737BE628564FF",1)</v>
      </c>
      <c r="E501" s="18"/>
      <c r="F501" s="19"/>
      <c r="G501" s="18">
        <f t="shared" si="4"/>
        <v>14</v>
      </c>
      <c r="H501" s="22">
        <v>10</v>
      </c>
      <c r="I501" s="19">
        <v>12</v>
      </c>
    </row>
    <row r="502" ht="60" customHeight="1" spans="1:9">
      <c r="A502" s="21" t="s">
        <v>978</v>
      </c>
      <c r="B502" s="41" t="s">
        <v>979</v>
      </c>
      <c r="C502" s="16"/>
      <c r="D502" s="42" t="str">
        <f>_xlfn.DISPIMG("ID_7F2E7203EF414FB097FD18DDFE6B8F9E",1)</f>
        <v>=DISPIMG("ID_7F2E7203EF414FB097FD18DDFE6B8F9E",1)</v>
      </c>
      <c r="E502" s="18"/>
      <c r="F502" s="19"/>
      <c r="G502" s="18">
        <f t="shared" si="4"/>
        <v>27</v>
      </c>
      <c r="H502" s="22">
        <v>23</v>
      </c>
      <c r="I502" s="19">
        <v>25</v>
      </c>
    </row>
    <row r="503" ht="60" customHeight="1" spans="1:9">
      <c r="A503" s="21" t="s">
        <v>980</v>
      </c>
      <c r="B503" s="41" t="s">
        <v>981</v>
      </c>
      <c r="C503" s="16"/>
      <c r="D503" s="42" t="str">
        <f>_xlfn.DISPIMG("ID_56771D301D2B41BABD770AE2AAF1D23E",1)</f>
        <v>=DISPIMG("ID_56771D301D2B41BABD770AE2AAF1D23E",1)</v>
      </c>
      <c r="E503" s="18"/>
      <c r="F503" s="19"/>
      <c r="G503" s="18">
        <f t="shared" si="4"/>
        <v>14</v>
      </c>
      <c r="H503" s="22">
        <v>10</v>
      </c>
      <c r="I503" s="19">
        <v>12</v>
      </c>
    </row>
    <row r="504" ht="60" customHeight="1" spans="1:9">
      <c r="A504" s="21" t="s">
        <v>982</v>
      </c>
      <c r="B504" s="41" t="s">
        <v>983</v>
      </c>
      <c r="C504" s="16"/>
      <c r="D504" s="42" t="str">
        <f>_xlfn.DISPIMG("ID_2465441E28564570B9FE3A6BD69C230E",1)</f>
        <v>=DISPIMG("ID_2465441E28564570B9FE3A6BD69C230E",1)</v>
      </c>
      <c r="E504" s="18"/>
      <c r="F504" s="19"/>
      <c r="G504" s="18">
        <f t="shared" si="4"/>
        <v>27</v>
      </c>
      <c r="H504" s="22">
        <v>23</v>
      </c>
      <c r="I504" s="19">
        <v>25</v>
      </c>
    </row>
    <row r="505" ht="60" customHeight="1" spans="1:9">
      <c r="A505" s="21" t="s">
        <v>984</v>
      </c>
      <c r="B505" s="41" t="s">
        <v>985</v>
      </c>
      <c r="C505" s="16"/>
      <c r="D505" s="42" t="str">
        <f>_xlfn.DISPIMG("ID_5D5C98F8D06D4F3498B204E23C6D34C0",1)</f>
        <v>=DISPIMG("ID_5D5C98F8D06D4F3498B204E23C6D34C0",1)</v>
      </c>
      <c r="E505" s="18"/>
      <c r="F505" s="19"/>
      <c r="G505" s="18">
        <f t="shared" si="4"/>
        <v>29</v>
      </c>
      <c r="H505" s="22">
        <v>25</v>
      </c>
      <c r="I505" s="19">
        <v>27</v>
      </c>
    </row>
    <row r="506" ht="60" customHeight="1" spans="1:9">
      <c r="A506" s="21" t="s">
        <v>986</v>
      </c>
      <c r="B506" s="41" t="s">
        <v>987</v>
      </c>
      <c r="C506" s="16"/>
      <c r="D506" s="42" t="str">
        <f>_xlfn.DISPIMG("ID_23BF4BE0BC654FB8912BDA0FCAE1908C",1)</f>
        <v>=DISPIMG("ID_23BF4BE0BC654FB8912BDA0FCAE1908C",1)</v>
      </c>
      <c r="E506" s="18"/>
      <c r="F506" s="19"/>
      <c r="G506" s="18">
        <f t="shared" si="4"/>
        <v>29</v>
      </c>
      <c r="H506" s="22">
        <v>25</v>
      </c>
      <c r="I506" s="19">
        <v>27</v>
      </c>
    </row>
    <row r="507" ht="60" customHeight="1" spans="1:9">
      <c r="A507" s="21" t="s">
        <v>988</v>
      </c>
      <c r="B507" s="41" t="s">
        <v>989</v>
      </c>
      <c r="C507" s="16"/>
      <c r="D507" s="42" t="str">
        <f>_xlfn.DISPIMG("ID_F7237697C0104A3AB4D14D20654C0579",1)</f>
        <v>=DISPIMG("ID_F7237697C0104A3AB4D14D20654C0579",1)</v>
      </c>
      <c r="E507" s="18"/>
      <c r="F507" s="19"/>
      <c r="G507" s="18">
        <f t="shared" si="4"/>
        <v>29</v>
      </c>
      <c r="H507" s="22">
        <v>25</v>
      </c>
      <c r="I507" s="19">
        <v>27</v>
      </c>
    </row>
    <row r="508" ht="60" customHeight="1" spans="1:9">
      <c r="A508" s="21" t="s">
        <v>990</v>
      </c>
      <c r="B508" s="41" t="s">
        <v>991</v>
      </c>
      <c r="C508" s="16"/>
      <c r="D508" s="42" t="str">
        <f>_xlfn.DISPIMG("ID_A3087AF5AFE541B7800EA3007C964A8D",1)</f>
        <v>=DISPIMG("ID_A3087AF5AFE541B7800EA3007C964A8D",1)</v>
      </c>
      <c r="E508" s="18"/>
      <c r="F508" s="19"/>
      <c r="G508" s="18">
        <f t="shared" si="4"/>
        <v>29</v>
      </c>
      <c r="H508" s="22">
        <v>25</v>
      </c>
      <c r="I508" s="19">
        <v>27</v>
      </c>
    </row>
    <row r="509" ht="60" customHeight="1" spans="1:9">
      <c r="A509" s="21" t="s">
        <v>992</v>
      </c>
      <c r="B509" s="41" t="s">
        <v>993</v>
      </c>
      <c r="C509" s="16"/>
      <c r="D509" s="42" t="str">
        <f>_xlfn.DISPIMG("ID_51D203C7025E4AB6B28611F5B65420CB",1)</f>
        <v>=DISPIMG("ID_51D203C7025E4AB6B28611F5B65420CB",1)</v>
      </c>
      <c r="E509" s="18"/>
      <c r="F509" s="19"/>
      <c r="G509" s="18">
        <f t="shared" si="4"/>
        <v>29</v>
      </c>
      <c r="H509" s="22">
        <v>25</v>
      </c>
      <c r="I509" s="19">
        <v>27</v>
      </c>
    </row>
    <row r="510" ht="60" customHeight="1" spans="1:9">
      <c r="A510" s="21" t="s">
        <v>994</v>
      </c>
      <c r="B510" s="41" t="s">
        <v>995</v>
      </c>
      <c r="C510" s="16"/>
      <c r="D510" s="42" t="str">
        <f>_xlfn.DISPIMG("ID_B31BA1476BB94846B7791B9D41D08D08",1)</f>
        <v>=DISPIMG("ID_B31BA1476BB94846B7791B9D41D08D08",1)</v>
      </c>
      <c r="E510" s="18"/>
      <c r="F510" s="19"/>
      <c r="G510" s="18">
        <f t="shared" si="4"/>
        <v>29</v>
      </c>
      <c r="H510" s="22">
        <v>25</v>
      </c>
      <c r="I510" s="19">
        <v>27</v>
      </c>
    </row>
    <row r="511" ht="60" customHeight="1" spans="1:9">
      <c r="A511" s="21" t="s">
        <v>996</v>
      </c>
      <c r="B511" s="41" t="s">
        <v>997</v>
      </c>
      <c r="C511" s="16"/>
      <c r="D511" s="42" t="str">
        <f>_xlfn.DISPIMG("ID_7810828A370D4F759D4C1AD588290109",1)</f>
        <v>=DISPIMG("ID_7810828A370D4F759D4C1AD588290109",1)</v>
      </c>
      <c r="E511" s="18"/>
      <c r="F511" s="19"/>
      <c r="G511" s="18">
        <f t="shared" si="4"/>
        <v>29</v>
      </c>
      <c r="H511" s="22">
        <v>25</v>
      </c>
      <c r="I511" s="19">
        <v>27</v>
      </c>
    </row>
    <row r="512" ht="60" customHeight="1" spans="1:9">
      <c r="A512" s="21" t="s">
        <v>998</v>
      </c>
      <c r="B512" s="41" t="s">
        <v>999</v>
      </c>
      <c r="C512" s="16"/>
      <c r="D512" s="42" t="str">
        <f>_xlfn.DISPIMG("ID_643083A76B1B40A09FDD213A16197B39",1)</f>
        <v>=DISPIMG("ID_643083A76B1B40A09FDD213A16197B39",1)</v>
      </c>
      <c r="E512" s="18"/>
      <c r="F512" s="19"/>
      <c r="G512" s="18">
        <f t="shared" si="4"/>
        <v>29</v>
      </c>
      <c r="H512" s="22">
        <v>25</v>
      </c>
      <c r="I512" s="19">
        <v>27</v>
      </c>
    </row>
    <row r="513" ht="60" customHeight="1" spans="1:9">
      <c r="A513" s="21" t="s">
        <v>1000</v>
      </c>
      <c r="B513" s="41" t="s">
        <v>1001</v>
      </c>
      <c r="C513" s="16"/>
      <c r="D513" s="42" t="str">
        <f>_xlfn.DISPIMG("ID_F083786239E54D0B9B4992B73DDF01C7",1)</f>
        <v>=DISPIMG("ID_F083786239E54D0B9B4992B73DDF01C7",1)</v>
      </c>
      <c r="E513" s="18"/>
      <c r="F513" s="19"/>
      <c r="G513" s="18">
        <f t="shared" si="4"/>
        <v>29</v>
      </c>
      <c r="H513" s="22">
        <v>25</v>
      </c>
      <c r="I513" s="19">
        <v>27</v>
      </c>
    </row>
    <row r="514" ht="60" customHeight="1" spans="1:9">
      <c r="A514" s="21" t="s">
        <v>1002</v>
      </c>
      <c r="B514" s="41" t="s">
        <v>1003</v>
      </c>
      <c r="C514" s="16"/>
      <c r="D514" s="42" t="str">
        <f>_xlfn.DISPIMG("ID_A39C030661084EA3AC9D072719D2112D",1)</f>
        <v>=DISPIMG("ID_A39C030661084EA3AC9D072719D2112D",1)</v>
      </c>
      <c r="E514" s="18"/>
      <c r="F514" s="19"/>
      <c r="G514" s="18">
        <f t="shared" si="4"/>
        <v>29</v>
      </c>
      <c r="H514" s="22">
        <v>25</v>
      </c>
      <c r="I514" s="19">
        <v>27</v>
      </c>
    </row>
    <row r="515" ht="60" customHeight="1" spans="1:9">
      <c r="A515" s="21" t="s">
        <v>1004</v>
      </c>
      <c r="B515" s="41" t="s">
        <v>1005</v>
      </c>
      <c r="C515" s="16"/>
      <c r="D515" s="42" t="str">
        <f>_xlfn.DISPIMG("ID_B2AAC0B9B5AE44D5BDD6BE2D79A9372D",1)</f>
        <v>=DISPIMG("ID_B2AAC0B9B5AE44D5BDD6BE2D79A9372D",1)</v>
      </c>
      <c r="E515" s="18"/>
      <c r="F515" s="19"/>
      <c r="G515" s="18">
        <f t="shared" si="4"/>
        <v>29</v>
      </c>
      <c r="H515" s="22">
        <v>25</v>
      </c>
      <c r="I515" s="19">
        <v>27</v>
      </c>
    </row>
    <row r="516" ht="60" customHeight="1" spans="1:9">
      <c r="A516" s="21" t="s">
        <v>1006</v>
      </c>
      <c r="B516" s="41" t="s">
        <v>1007</v>
      </c>
      <c r="C516" s="16"/>
      <c r="D516" s="42" t="str">
        <f>_xlfn.DISPIMG("ID_925FAC4FA95647EAA114910C613A68F8",1)</f>
        <v>=DISPIMG("ID_925FAC4FA95647EAA114910C613A68F8",1)</v>
      </c>
      <c r="E516" s="18"/>
      <c r="F516" s="19"/>
      <c r="G516" s="18">
        <f t="shared" si="4"/>
        <v>29</v>
      </c>
      <c r="H516" s="22">
        <v>25</v>
      </c>
      <c r="I516" s="19">
        <v>27</v>
      </c>
    </row>
    <row r="517" ht="100.15" customHeight="1" spans="1:9">
      <c r="A517" s="1" t="s">
        <v>1008</v>
      </c>
      <c r="B517" s="13"/>
      <c r="C517" s="13"/>
      <c r="D517" s="13"/>
      <c r="E517" s="13"/>
      <c r="F517" s="13"/>
      <c r="G517" s="18"/>
      <c r="H517" s="13"/>
      <c r="I517" s="13"/>
    </row>
    <row r="518" ht="100.15" customHeight="1" spans="1:9">
      <c r="A518" s="21" t="s">
        <v>1009</v>
      </c>
      <c r="B518" s="41" t="s">
        <v>1010</v>
      </c>
      <c r="C518" s="16" t="s">
        <v>87</v>
      </c>
      <c r="D518" s="42" t="str">
        <f>_xlfn.DISPIMG("ID_63B63BB986534EF4BC730C25C36AB2BA",1)</f>
        <v>=DISPIMG("ID_63B63BB986534EF4BC730C25C36AB2BA",1)</v>
      </c>
      <c r="E518" s="18"/>
      <c r="F518" s="19"/>
      <c r="G518" s="67">
        <v>39</v>
      </c>
      <c r="H518" s="22">
        <v>39</v>
      </c>
      <c r="I518" s="19">
        <v>41</v>
      </c>
    </row>
    <row r="519" ht="100.15" customHeight="1" spans="1:9">
      <c r="A519" s="21" t="s">
        <v>1011</v>
      </c>
      <c r="B519" s="41" t="s">
        <v>1012</v>
      </c>
      <c r="C519" s="16" t="s">
        <v>87</v>
      </c>
      <c r="D519" s="42" t="str">
        <f>_xlfn.DISPIMG("ID_619023655EA24B4BB83A8CB6F72712CB",1)</f>
        <v>=DISPIMG("ID_619023655EA24B4BB83A8CB6F72712CB",1)</v>
      </c>
      <c r="E519" s="18"/>
      <c r="F519" s="19"/>
      <c r="G519" s="67">
        <v>39</v>
      </c>
      <c r="H519" s="22">
        <v>39</v>
      </c>
      <c r="I519" s="19">
        <v>41</v>
      </c>
    </row>
    <row r="520" ht="100.15" customHeight="1" spans="1:9">
      <c r="A520" s="21" t="s">
        <v>1013</v>
      </c>
      <c r="B520" s="41" t="s">
        <v>1014</v>
      </c>
      <c r="C520" s="16" t="s">
        <v>87</v>
      </c>
      <c r="D520" s="42" t="str">
        <f>_xlfn.DISPIMG("ID_C45327B21F0A42DEAB216339A85F060A",1)</f>
        <v>=DISPIMG("ID_C45327B21F0A42DEAB216339A85F060A",1)</v>
      </c>
      <c r="E520" s="18"/>
      <c r="F520" s="19"/>
      <c r="G520" s="67">
        <v>39</v>
      </c>
      <c r="H520" s="22">
        <v>39</v>
      </c>
      <c r="I520" s="19">
        <v>41</v>
      </c>
    </row>
    <row r="521" ht="100.15" customHeight="1" spans="1:9">
      <c r="A521" s="1" t="s">
        <v>1015</v>
      </c>
      <c r="B521" s="13"/>
      <c r="C521" s="13"/>
      <c r="D521" s="13"/>
      <c r="E521" s="13"/>
      <c r="F521" s="13"/>
      <c r="G521" s="14"/>
      <c r="H521" s="13"/>
      <c r="I521" s="13"/>
    </row>
    <row r="522" ht="99.95" customHeight="1" spans="1:9">
      <c r="A522" s="21" t="s">
        <v>1016</v>
      </c>
      <c r="B522" s="41" t="s">
        <v>1017</v>
      </c>
      <c r="C522" s="16" t="s">
        <v>1018</v>
      </c>
      <c r="D522" s="42" t="str">
        <f>_xlfn.DISPIMG("ID_E32B793E69E949BB8EB7D032751972E8",1)</f>
        <v>=DISPIMG("ID_E32B793E69E949BB8EB7D032751972E8",1)</v>
      </c>
      <c r="E522" s="18"/>
      <c r="F522" s="19"/>
      <c r="G522" s="67">
        <v>4.5</v>
      </c>
      <c r="H522" s="22">
        <v>4.5</v>
      </c>
      <c r="I522" s="19">
        <v>6.5</v>
      </c>
    </row>
    <row r="523" ht="99.95" customHeight="1" spans="1:9">
      <c r="A523" s="1" t="s">
        <v>1019</v>
      </c>
      <c r="B523" s="13"/>
      <c r="C523" s="13"/>
      <c r="D523" s="13"/>
      <c r="E523" s="13"/>
      <c r="F523" s="13"/>
      <c r="G523" s="14"/>
      <c r="H523" s="13"/>
      <c r="I523" s="13"/>
    </row>
    <row r="524" ht="95" customHeight="1" spans="1:9">
      <c r="A524" s="21" t="s">
        <v>1020</v>
      </c>
      <c r="B524" s="15" t="s">
        <v>1021</v>
      </c>
      <c r="C524" s="16" t="s">
        <v>83</v>
      </c>
      <c r="D524" s="17" t="str">
        <f>_xlfn.DISPIMG("ID_94E9F07BC64B463894CEF6B4D336D558",1)</f>
        <v>=DISPIMG("ID_94E9F07BC64B463894CEF6B4D336D558",1)</v>
      </c>
      <c r="E524" s="18">
        <v>24</v>
      </c>
      <c r="F524" s="19"/>
      <c r="G524" s="18">
        <v>54</v>
      </c>
      <c r="H524" s="20">
        <v>52</v>
      </c>
      <c r="I524" s="19">
        <v>54</v>
      </c>
    </row>
    <row r="525" ht="95" customHeight="1" spans="1:9">
      <c r="A525" s="21" t="s">
        <v>1022</v>
      </c>
      <c r="B525" s="15" t="s">
        <v>1023</v>
      </c>
      <c r="C525" s="16" t="s">
        <v>83</v>
      </c>
      <c r="D525" s="17" t="str">
        <f>_xlfn.DISPIMG("ID_67083F3D769247DC8D2E70F9C7C0DCE7",1)</f>
        <v>=DISPIMG("ID_67083F3D769247DC8D2E70F9C7C0DCE7",1)</v>
      </c>
      <c r="E525" s="18">
        <v>24</v>
      </c>
      <c r="F525" s="19"/>
      <c r="G525" s="18">
        <v>54</v>
      </c>
      <c r="H525" s="20">
        <v>52</v>
      </c>
      <c r="I525" s="19">
        <v>54</v>
      </c>
    </row>
    <row r="526" ht="95" customHeight="1" spans="1:9">
      <c r="A526" s="21" t="s">
        <v>1024</v>
      </c>
      <c r="B526" s="15" t="s">
        <v>1025</v>
      </c>
      <c r="C526" s="16" t="s">
        <v>83</v>
      </c>
      <c r="D526" s="17" t="str">
        <f>_xlfn.DISPIMG("ID_48CAAB14FCE4404BB5740064BFEA7860",1)</f>
        <v>=DISPIMG("ID_48CAAB14FCE4404BB5740064BFEA7860",1)</v>
      </c>
      <c r="E526" s="18">
        <v>24</v>
      </c>
      <c r="F526" s="19"/>
      <c r="G526" s="18">
        <v>54</v>
      </c>
      <c r="H526" s="20">
        <v>52</v>
      </c>
      <c r="I526" s="19">
        <v>54</v>
      </c>
    </row>
    <row r="527" ht="95" customHeight="1" spans="1:9">
      <c r="A527" s="21" t="s">
        <v>1026</v>
      </c>
      <c r="B527" s="15" t="s">
        <v>1027</v>
      </c>
      <c r="C527" s="16" t="s">
        <v>83</v>
      </c>
      <c r="D527" s="17" t="str">
        <f>_xlfn.DISPIMG("ID_08DD75A2AE3242D2A2726C840C6AA84F",1)</f>
        <v>=DISPIMG("ID_08DD75A2AE3242D2A2726C840C6AA84F",1)</v>
      </c>
      <c r="E527" s="18">
        <v>24</v>
      </c>
      <c r="F527" s="19"/>
      <c r="G527" s="18">
        <v>54</v>
      </c>
      <c r="H527" s="20">
        <v>52</v>
      </c>
      <c r="I527" s="19">
        <v>54</v>
      </c>
    </row>
    <row r="528" ht="95" customHeight="1" spans="1:9">
      <c r="A528" s="21" t="s">
        <v>1028</v>
      </c>
      <c r="B528" s="15" t="s">
        <v>1029</v>
      </c>
      <c r="C528" s="16" t="s">
        <v>83</v>
      </c>
      <c r="D528" s="17" t="str">
        <f>_xlfn.DISPIMG("ID_2D7CE1A0E39C418FAFAB2750C201AA16",1)</f>
        <v>=DISPIMG("ID_2D7CE1A0E39C418FAFAB2750C201AA16",1)</v>
      </c>
      <c r="E528" s="18">
        <v>24</v>
      </c>
      <c r="F528" s="19"/>
      <c r="G528" s="18">
        <v>54</v>
      </c>
      <c r="H528" s="20">
        <v>52</v>
      </c>
      <c r="I528" s="19">
        <v>54</v>
      </c>
    </row>
    <row r="529" ht="95" customHeight="1" spans="1:9">
      <c r="A529" s="21" t="s">
        <v>1030</v>
      </c>
      <c r="B529" s="15" t="s">
        <v>1031</v>
      </c>
      <c r="C529" s="16" t="s">
        <v>83</v>
      </c>
      <c r="D529" s="17" t="str">
        <f>_xlfn.DISPIMG("ID_95513507B02F463CB591482CCD2EC411",1)</f>
        <v>=DISPIMG("ID_95513507B02F463CB591482CCD2EC411",1)</v>
      </c>
      <c r="E529" s="18">
        <v>24</v>
      </c>
      <c r="F529" s="19"/>
      <c r="G529" s="18">
        <v>56</v>
      </c>
      <c r="H529" s="20">
        <v>54</v>
      </c>
      <c r="I529" s="19">
        <v>56</v>
      </c>
    </row>
    <row r="530" ht="95" customHeight="1" spans="1:9">
      <c r="A530" s="21" t="s">
        <v>1032</v>
      </c>
      <c r="B530" s="15" t="s">
        <v>1033</v>
      </c>
      <c r="C530" s="16" t="s">
        <v>83</v>
      </c>
      <c r="D530" s="17" t="str">
        <f>_xlfn.DISPIMG("ID_0BB25637C3AC40519E2445B02723E726",1)</f>
        <v>=DISPIMG("ID_0BB25637C3AC40519E2445B02723E726",1)</v>
      </c>
      <c r="E530" s="18">
        <v>24</v>
      </c>
      <c r="F530" s="19"/>
      <c r="G530" s="18">
        <v>56</v>
      </c>
      <c r="H530" s="20">
        <v>54</v>
      </c>
      <c r="I530" s="19">
        <v>56</v>
      </c>
    </row>
    <row r="531" ht="95" customHeight="1" spans="1:9">
      <c r="A531" s="21" t="s">
        <v>1034</v>
      </c>
      <c r="B531" s="15" t="s">
        <v>1035</v>
      </c>
      <c r="C531" s="16" t="s">
        <v>83</v>
      </c>
      <c r="D531" s="17" t="str">
        <f>_xlfn.DISPIMG("ID_902F8467C20240E88D208154E447AD9B",1)</f>
        <v>=DISPIMG("ID_902F8467C20240E88D208154E447AD9B",1)</v>
      </c>
      <c r="E531" s="18">
        <v>24</v>
      </c>
      <c r="F531" s="19"/>
      <c r="G531" s="18">
        <v>56</v>
      </c>
      <c r="H531" s="20">
        <v>54</v>
      </c>
      <c r="I531" s="19">
        <v>56</v>
      </c>
    </row>
    <row r="532" ht="95" customHeight="1" spans="1:9">
      <c r="A532" s="21" t="s">
        <v>1036</v>
      </c>
      <c r="B532" s="15" t="s">
        <v>1037</v>
      </c>
      <c r="C532" s="16" t="s">
        <v>83</v>
      </c>
      <c r="D532" s="17" t="str">
        <f>_xlfn.DISPIMG("ID_548A63B7C6EB4A8A9B69363545EB8B18",1)</f>
        <v>=DISPIMG("ID_548A63B7C6EB4A8A9B69363545EB8B18",1)</v>
      </c>
      <c r="E532" s="18">
        <v>24</v>
      </c>
      <c r="F532" s="19"/>
      <c r="G532" s="18">
        <v>54</v>
      </c>
      <c r="H532" s="20">
        <v>52</v>
      </c>
      <c r="I532" s="19">
        <v>54</v>
      </c>
    </row>
    <row r="533" ht="95" customHeight="1" spans="1:9">
      <c r="A533" s="21" t="s">
        <v>1038</v>
      </c>
      <c r="B533" s="15" t="s">
        <v>1039</v>
      </c>
      <c r="C533" s="16" t="s">
        <v>83</v>
      </c>
      <c r="D533" s="17" t="str">
        <f>_xlfn.DISPIMG("ID_3C27F477F27146678C7281F7B9136567",1)</f>
        <v>=DISPIMG("ID_3C27F477F27146678C7281F7B9136567",1)</v>
      </c>
      <c r="E533" s="18">
        <v>24</v>
      </c>
      <c r="F533" s="19"/>
      <c r="G533" s="18">
        <v>54</v>
      </c>
      <c r="H533" s="20">
        <v>52</v>
      </c>
      <c r="I533" s="19">
        <v>54</v>
      </c>
    </row>
    <row r="534" ht="95" customHeight="1" spans="1:9">
      <c r="A534" s="21" t="s">
        <v>1040</v>
      </c>
      <c r="B534" s="15" t="s">
        <v>1041</v>
      </c>
      <c r="C534" s="16" t="s">
        <v>83</v>
      </c>
      <c r="D534" s="17" t="str">
        <f>_xlfn.DISPIMG("ID_7A9C79258F484047BC82F2BB19E041D3",1)</f>
        <v>=DISPIMG("ID_7A9C79258F484047BC82F2BB19E041D3",1)</v>
      </c>
      <c r="E534" s="18">
        <v>12</v>
      </c>
      <c r="F534" s="19"/>
      <c r="G534" s="18">
        <v>39</v>
      </c>
      <c r="H534" s="20">
        <v>37</v>
      </c>
      <c r="I534" s="19">
        <v>39</v>
      </c>
    </row>
    <row r="535" ht="95" customHeight="1" spans="1:9">
      <c r="A535" s="1" t="s">
        <v>1042</v>
      </c>
      <c r="B535" s="13"/>
      <c r="C535" s="13"/>
      <c r="D535" s="13"/>
      <c r="E535" s="13"/>
      <c r="F535" s="13"/>
      <c r="G535" s="14"/>
      <c r="H535" s="13"/>
      <c r="I535" s="13"/>
    </row>
    <row r="536" ht="100.15" customHeight="1" spans="1:9">
      <c r="A536" s="23" t="s">
        <v>1043</v>
      </c>
      <c r="B536" s="89" t="s">
        <v>1044</v>
      </c>
      <c r="C536" s="25" t="s">
        <v>87</v>
      </c>
      <c r="D536" s="49" t="str">
        <f>_xlfn.DISPIMG("ID_CB4ABAC13F284FF59F3271A7696BEADF",1)</f>
        <v>=DISPIMG("ID_CB4ABAC13F284FF59F3271A7696BEADF",1)</v>
      </c>
      <c r="E536" s="27"/>
      <c r="F536" s="28"/>
      <c r="G536" s="18">
        <v>66</v>
      </c>
      <c r="H536" s="29">
        <v>66</v>
      </c>
      <c r="I536" s="19">
        <v>68</v>
      </c>
    </row>
    <row r="537" ht="100.15" customHeight="1" spans="1:9">
      <c r="A537" s="1" t="s">
        <v>1045</v>
      </c>
      <c r="B537" s="13"/>
      <c r="C537" s="13"/>
      <c r="D537" s="13"/>
      <c r="E537" s="13"/>
      <c r="F537" s="13"/>
      <c r="G537" s="14"/>
      <c r="H537" s="13"/>
      <c r="I537" s="13"/>
    </row>
    <row r="538" ht="100.15" customHeight="1" spans="1:9">
      <c r="A538" s="23" t="s">
        <v>1046</v>
      </c>
      <c r="B538" s="89" t="s">
        <v>1047</v>
      </c>
      <c r="C538" s="25" t="s">
        <v>87</v>
      </c>
      <c r="D538" s="49" t="str">
        <f>_xlfn.DISPIMG("ID_3B0D6290105349CCA0A1CE5CA92CF7C3",1)</f>
        <v>=DISPIMG("ID_3B0D6290105349CCA0A1CE5CA92CF7C3",1)</v>
      </c>
      <c r="E538" s="27"/>
      <c r="F538" s="28">
        <v>30</v>
      </c>
      <c r="G538" s="18">
        <v>32</v>
      </c>
      <c r="H538" s="29">
        <v>31</v>
      </c>
      <c r="I538" s="19">
        <v>33</v>
      </c>
    </row>
    <row r="539" ht="100.15" customHeight="1" spans="1:9">
      <c r="A539" s="23" t="s">
        <v>1048</v>
      </c>
      <c r="B539" s="89" t="s">
        <v>1049</v>
      </c>
      <c r="C539" s="25" t="s">
        <v>87</v>
      </c>
      <c r="D539" s="49" t="str">
        <f>_xlfn.DISPIMG("ID_841FC149F1134122913F3550FBBD467D",1)</f>
        <v>=DISPIMG("ID_841FC149F1134122913F3550FBBD467D",1)</v>
      </c>
      <c r="E539" s="27">
        <v>120</v>
      </c>
      <c r="F539" s="28">
        <v>25</v>
      </c>
      <c r="G539" s="18">
        <v>27</v>
      </c>
      <c r="H539" s="29">
        <v>26</v>
      </c>
      <c r="I539" s="19">
        <v>28</v>
      </c>
    </row>
    <row r="540" ht="100.15" customHeight="1" spans="1:9">
      <c r="A540" s="23" t="s">
        <v>1050</v>
      </c>
      <c r="B540" s="89" t="s">
        <v>1051</v>
      </c>
      <c r="C540" s="25" t="s">
        <v>87</v>
      </c>
      <c r="D540" s="49" t="str">
        <f>_xlfn.DISPIMG("ID_005B65D94DCE491580C6A15BEB35D499",1)</f>
        <v>=DISPIMG("ID_005B65D94DCE491580C6A15BEB35D499",1)</v>
      </c>
      <c r="E540" s="27">
        <v>40</v>
      </c>
      <c r="F540" s="28">
        <v>21</v>
      </c>
      <c r="G540" s="18">
        <v>23</v>
      </c>
      <c r="H540" s="29">
        <v>22</v>
      </c>
      <c r="I540" s="19">
        <v>24</v>
      </c>
    </row>
    <row r="541" ht="100.15" customHeight="1" spans="1:9">
      <c r="A541" s="23" t="s">
        <v>1052</v>
      </c>
      <c r="B541" s="89" t="s">
        <v>1053</v>
      </c>
      <c r="C541" s="25" t="s">
        <v>87</v>
      </c>
      <c r="D541" s="49" t="str">
        <f>_xlfn.DISPIMG("ID_588FA675CF07455E9D276F0EF8DA57A5",1)</f>
        <v>=DISPIMG("ID_588FA675CF07455E9D276F0EF8DA57A5",1)</v>
      </c>
      <c r="E541" s="27">
        <v>60</v>
      </c>
      <c r="F541" s="28">
        <v>25</v>
      </c>
      <c r="G541" s="18">
        <v>28</v>
      </c>
      <c r="H541" s="29">
        <v>26</v>
      </c>
      <c r="I541" s="19">
        <v>28</v>
      </c>
    </row>
    <row r="542" ht="100.15" customHeight="1" spans="1:9">
      <c r="A542" s="23" t="s">
        <v>1054</v>
      </c>
      <c r="B542" s="89" t="s">
        <v>1055</v>
      </c>
      <c r="C542" s="25" t="s">
        <v>87</v>
      </c>
      <c r="D542" s="49" t="str">
        <f>_xlfn.DISPIMG("ID_09F94EC4348E40939BC9516C0E4BF41B",1)</f>
        <v>=DISPIMG("ID_09F94EC4348E40939BC9516C0E4BF41B",1)</v>
      </c>
      <c r="E542" s="27">
        <v>54</v>
      </c>
      <c r="F542" s="28">
        <v>25</v>
      </c>
      <c r="G542" s="18">
        <v>28</v>
      </c>
      <c r="H542" s="29">
        <v>26</v>
      </c>
      <c r="I542" s="19">
        <v>28</v>
      </c>
    </row>
    <row r="543" ht="100.15" customHeight="1" spans="1:9">
      <c r="A543" s="23" t="s">
        <v>1056</v>
      </c>
      <c r="B543" s="89" t="s">
        <v>1057</v>
      </c>
      <c r="C543" s="25" t="s">
        <v>87</v>
      </c>
      <c r="D543" s="49" t="str">
        <f>_xlfn.DISPIMG("ID_512CAB78B046402F8934C8B274FC0EF6",1)</f>
        <v>=DISPIMG("ID_512CAB78B046402F8934C8B274FC0EF6",1)</v>
      </c>
      <c r="E543" s="27">
        <v>80</v>
      </c>
      <c r="F543" s="28">
        <v>24</v>
      </c>
      <c r="G543" s="18">
        <v>27</v>
      </c>
      <c r="H543" s="29">
        <v>25</v>
      </c>
      <c r="I543" s="19">
        <v>27</v>
      </c>
    </row>
    <row r="544" ht="100.15" customHeight="1" spans="1:9">
      <c r="A544" s="23" t="s">
        <v>1058</v>
      </c>
      <c r="B544" s="89" t="s">
        <v>1059</v>
      </c>
      <c r="C544" s="25" t="s">
        <v>87</v>
      </c>
      <c r="D544" s="49" t="str">
        <f>_xlfn.DISPIMG("ID_1EB4648346864DCFB3F2A7CAA5EFB02A",1)</f>
        <v>=DISPIMG("ID_1EB4648346864DCFB3F2A7CAA5EFB02A",1)</v>
      </c>
      <c r="E544" s="27">
        <v>140</v>
      </c>
      <c r="F544" s="28">
        <v>25</v>
      </c>
      <c r="G544" s="18">
        <v>28</v>
      </c>
      <c r="H544" s="29">
        <v>26</v>
      </c>
      <c r="I544" s="19">
        <v>28</v>
      </c>
    </row>
    <row r="545" ht="100.15" customHeight="1" spans="1:9">
      <c r="A545" s="23" t="s">
        <v>1060</v>
      </c>
      <c r="B545" s="89" t="s">
        <v>1061</v>
      </c>
      <c r="C545" s="25" t="s">
        <v>87</v>
      </c>
      <c r="D545" s="49" t="str">
        <f>_xlfn.DISPIMG("ID_6C738296A9374DF084456AA91E828A64",1)</f>
        <v>=DISPIMG("ID_6C738296A9374DF084456AA91E828A64",1)</v>
      </c>
      <c r="E545" s="27"/>
      <c r="F545" s="28">
        <v>26</v>
      </c>
      <c r="G545" s="18">
        <v>29</v>
      </c>
      <c r="H545" s="29">
        <v>27</v>
      </c>
      <c r="I545" s="19">
        <v>29</v>
      </c>
    </row>
    <row r="546" ht="60" customHeight="1" spans="1:9">
      <c r="A546" s="21" t="s">
        <v>1062</v>
      </c>
      <c r="B546" s="41" t="s">
        <v>1063</v>
      </c>
      <c r="C546" s="16"/>
      <c r="D546" s="42" t="str">
        <f>_xlfn.DISPIMG("ID_CEFDBEDDE6C64682AA0540B4340C2308",1)</f>
        <v>=DISPIMG("ID_CEFDBEDDE6C64682AA0540B4340C2308",1)</v>
      </c>
      <c r="E546" s="18"/>
      <c r="F546" s="19"/>
      <c r="G546" s="18">
        <f>I546+2</f>
        <v>33</v>
      </c>
      <c r="H546" s="22">
        <v>29</v>
      </c>
      <c r="I546" s="19">
        <v>31</v>
      </c>
    </row>
    <row r="547" ht="60" customHeight="1" spans="1:9">
      <c r="A547" s="21" t="s">
        <v>1064</v>
      </c>
      <c r="B547" s="41" t="s">
        <v>1065</v>
      </c>
      <c r="C547" s="16"/>
      <c r="D547" s="42" t="str">
        <f>_xlfn.DISPIMG("ID_F3F9D9EC931340CBBCC0D20B9768307D",1)</f>
        <v>=DISPIMG("ID_F3F9D9EC931340CBBCC0D20B9768307D",1)</v>
      </c>
      <c r="E547" s="18"/>
      <c r="F547" s="19"/>
      <c r="G547" s="18">
        <f t="shared" ref="G547:G561" si="5">I547+2</f>
        <v>30</v>
      </c>
      <c r="H547" s="22">
        <v>26</v>
      </c>
      <c r="I547" s="19">
        <v>28</v>
      </c>
    </row>
    <row r="548" ht="60" customHeight="1" spans="1:9">
      <c r="A548" s="21" t="s">
        <v>1066</v>
      </c>
      <c r="B548" s="41" t="s">
        <v>1067</v>
      </c>
      <c r="C548" s="16"/>
      <c r="D548" s="42" t="str">
        <f>_xlfn.DISPIMG("ID_0EE85FDD49814CF6927BD212B68F80B8",1)</f>
        <v>=DISPIMG("ID_0EE85FDD49814CF6927BD212B68F80B8",1)</v>
      </c>
      <c r="E548" s="18"/>
      <c r="F548" s="19"/>
      <c r="G548" s="18">
        <f t="shared" si="5"/>
        <v>7</v>
      </c>
      <c r="H548" s="22">
        <v>3</v>
      </c>
      <c r="I548" s="19">
        <v>5</v>
      </c>
    </row>
    <row r="549" ht="60" customHeight="1" spans="1:9">
      <c r="A549" s="21" t="s">
        <v>1068</v>
      </c>
      <c r="B549" s="41" t="s">
        <v>1069</v>
      </c>
      <c r="C549" s="16"/>
      <c r="D549" s="42" t="str">
        <f>_xlfn.DISPIMG("ID_8E8E2DA88E46421AB0AB3B8A211F39D1",1)</f>
        <v>=DISPIMG("ID_8E8E2DA88E46421AB0AB3B8A211F39D1",1)</v>
      </c>
      <c r="E549" s="18"/>
      <c r="F549" s="19"/>
      <c r="G549" s="18">
        <f t="shared" si="5"/>
        <v>32</v>
      </c>
      <c r="H549" s="22">
        <v>28</v>
      </c>
      <c r="I549" s="19">
        <v>30</v>
      </c>
    </row>
    <row r="550" ht="60" customHeight="1" spans="1:9">
      <c r="A550" s="21" t="s">
        <v>1070</v>
      </c>
      <c r="B550" s="41" t="s">
        <v>1071</v>
      </c>
      <c r="C550" s="16"/>
      <c r="D550" s="42" t="str">
        <f>_xlfn.DISPIMG("ID_A172BDFA7A06454183048BD7F8F3AEAA",1)</f>
        <v>=DISPIMG("ID_A172BDFA7A06454183048BD7F8F3AEAA",1)</v>
      </c>
      <c r="E550" s="18"/>
      <c r="F550" s="19"/>
      <c r="G550" s="18">
        <f t="shared" si="5"/>
        <v>22</v>
      </c>
      <c r="H550" s="22">
        <v>18</v>
      </c>
      <c r="I550" s="19">
        <v>20</v>
      </c>
    </row>
    <row r="551" ht="60" customHeight="1" spans="1:9">
      <c r="A551" s="21" t="s">
        <v>1072</v>
      </c>
      <c r="B551" s="41" t="s">
        <v>1073</v>
      </c>
      <c r="C551" s="16"/>
      <c r="D551" s="42" t="str">
        <f>_xlfn.DISPIMG("ID_BC8A1CC04D45497C9A951A856C0CFB00",1)</f>
        <v>=DISPIMG("ID_BC8A1CC04D45497C9A951A856C0CFB00",1)</v>
      </c>
      <c r="E551" s="18"/>
      <c r="F551" s="19"/>
      <c r="G551" s="18">
        <f t="shared" si="5"/>
        <v>30</v>
      </c>
      <c r="H551" s="22">
        <v>26</v>
      </c>
      <c r="I551" s="19">
        <v>28</v>
      </c>
    </row>
    <row r="552" ht="60" customHeight="1" spans="1:9">
      <c r="A552" s="21" t="s">
        <v>1074</v>
      </c>
      <c r="B552" s="41" t="s">
        <v>1075</v>
      </c>
      <c r="C552" s="16"/>
      <c r="D552" s="42" t="str">
        <f>_xlfn.DISPIMG("ID_6C2DAD02283C4069B37145C63923BBBF",1)</f>
        <v>=DISPIMG("ID_6C2DAD02283C4069B37145C63923BBBF",1)</v>
      </c>
      <c r="E552" s="18"/>
      <c r="F552" s="19"/>
      <c r="G552" s="18">
        <f t="shared" si="5"/>
        <v>37</v>
      </c>
      <c r="H552" s="22">
        <v>33</v>
      </c>
      <c r="I552" s="19">
        <v>35</v>
      </c>
    </row>
    <row r="553" ht="60" customHeight="1" spans="1:9">
      <c r="A553" s="21" t="s">
        <v>1076</v>
      </c>
      <c r="B553" s="41" t="s">
        <v>1077</v>
      </c>
      <c r="C553" s="16"/>
      <c r="D553" s="42" t="str">
        <f>_xlfn.DISPIMG("ID_F5CE74968F5F45EEA2E3B32ACC2BEAE4",1)</f>
        <v>=DISPIMG("ID_F5CE74968F5F45EEA2E3B32ACC2BEAE4",1)</v>
      </c>
      <c r="E553" s="18"/>
      <c r="F553" s="19"/>
      <c r="G553" s="18">
        <f t="shared" si="5"/>
        <v>32</v>
      </c>
      <c r="H553" s="22">
        <v>28</v>
      </c>
      <c r="I553" s="19">
        <v>30</v>
      </c>
    </row>
    <row r="554" ht="60" customHeight="1" spans="1:9">
      <c r="A554" s="21" t="s">
        <v>1078</v>
      </c>
      <c r="B554" s="41" t="s">
        <v>1079</v>
      </c>
      <c r="C554" s="16"/>
      <c r="D554" s="42" t="str">
        <f>_xlfn.DISPIMG("ID_5A32E0202D8B4E4EA44999F06FE570DE",1)</f>
        <v>=DISPIMG("ID_5A32E0202D8B4E4EA44999F06FE570DE",1)</v>
      </c>
      <c r="E554" s="18"/>
      <c r="F554" s="19"/>
      <c r="G554" s="18">
        <f t="shared" si="5"/>
        <v>33</v>
      </c>
      <c r="H554" s="22">
        <v>29</v>
      </c>
      <c r="I554" s="19">
        <v>31</v>
      </c>
    </row>
    <row r="555" ht="60" customHeight="1" spans="1:9">
      <c r="A555" s="21" t="s">
        <v>1080</v>
      </c>
      <c r="B555" s="41" t="s">
        <v>1081</v>
      </c>
      <c r="C555" s="16"/>
      <c r="D555" s="42" t="str">
        <f>_xlfn.DISPIMG("ID_6D1E677801504E17BE01280FB172995C",1)</f>
        <v>=DISPIMG("ID_6D1E677801504E17BE01280FB172995C",1)</v>
      </c>
      <c r="E555" s="18"/>
      <c r="F555" s="19"/>
      <c r="G555" s="18">
        <f t="shared" si="5"/>
        <v>33</v>
      </c>
      <c r="H555" s="22">
        <v>29</v>
      </c>
      <c r="I555" s="19">
        <v>31</v>
      </c>
    </row>
    <row r="556" ht="60" customHeight="1" spans="1:9">
      <c r="A556" s="21" t="s">
        <v>1082</v>
      </c>
      <c r="B556" s="41" t="s">
        <v>1083</v>
      </c>
      <c r="C556" s="16"/>
      <c r="D556" s="42" t="str">
        <f>_xlfn.DISPIMG("ID_E5D1C6B1B6DF44BDB35152957842E9A1",1)</f>
        <v>=DISPIMG("ID_E5D1C6B1B6DF44BDB35152957842E9A1",1)</v>
      </c>
      <c r="E556" s="18"/>
      <c r="F556" s="19"/>
      <c r="G556" s="18">
        <f t="shared" si="5"/>
        <v>36</v>
      </c>
      <c r="H556" s="22">
        <v>32</v>
      </c>
      <c r="I556" s="19">
        <v>34</v>
      </c>
    </row>
    <row r="557" ht="60" customHeight="1" spans="1:9">
      <c r="A557" s="21" t="s">
        <v>1084</v>
      </c>
      <c r="B557" s="41" t="s">
        <v>1085</v>
      </c>
      <c r="C557" s="16"/>
      <c r="D557" s="42" t="str">
        <f>_xlfn.DISPIMG("ID_7A83E0ADEE2642518C22595673AADDD4",1)</f>
        <v>=DISPIMG("ID_7A83E0ADEE2642518C22595673AADDD4",1)</v>
      </c>
      <c r="E557" s="18"/>
      <c r="F557" s="19"/>
      <c r="G557" s="18">
        <f t="shared" si="5"/>
        <v>35</v>
      </c>
      <c r="H557" s="22">
        <v>31</v>
      </c>
      <c r="I557" s="19">
        <v>33</v>
      </c>
    </row>
    <row r="558" ht="60" customHeight="1" spans="1:9">
      <c r="A558" s="21" t="s">
        <v>1086</v>
      </c>
      <c r="B558" s="41" t="s">
        <v>1087</v>
      </c>
      <c r="C558" s="16"/>
      <c r="D558" s="42" t="str">
        <f>_xlfn.DISPIMG("ID_F8AA6DDC74524870ACB34FFAC5F945BE",1)</f>
        <v>=DISPIMG("ID_F8AA6DDC74524870ACB34FFAC5F945BE",1)</v>
      </c>
      <c r="E558" s="18"/>
      <c r="F558" s="19"/>
      <c r="G558" s="18">
        <f t="shared" si="5"/>
        <v>37</v>
      </c>
      <c r="H558" s="22">
        <v>33</v>
      </c>
      <c r="I558" s="19">
        <v>35</v>
      </c>
    </row>
    <row r="559" ht="60" customHeight="1" spans="1:9">
      <c r="A559" s="21" t="s">
        <v>1088</v>
      </c>
      <c r="B559" s="41" t="s">
        <v>1089</v>
      </c>
      <c r="C559" s="16"/>
      <c r="D559" s="42" t="str">
        <f>_xlfn.DISPIMG("ID_6C673F4DBD0F4514A8A27F7B38FB3CF0",1)</f>
        <v>=DISPIMG("ID_6C673F4DBD0F4514A8A27F7B38FB3CF0",1)</v>
      </c>
      <c r="E559" s="18"/>
      <c r="F559" s="19"/>
      <c r="G559" s="18">
        <f t="shared" si="5"/>
        <v>32</v>
      </c>
      <c r="H559" s="22">
        <v>28</v>
      </c>
      <c r="I559" s="19">
        <v>30</v>
      </c>
    </row>
    <row r="560" ht="60" customHeight="1" spans="1:9">
      <c r="A560" s="21" t="s">
        <v>1090</v>
      </c>
      <c r="B560" s="41" t="s">
        <v>1091</v>
      </c>
      <c r="C560" s="16"/>
      <c r="D560" s="42" t="str">
        <f>_xlfn.DISPIMG("ID_26F527B5A4CC491993BBCE8115F6F169",1)</f>
        <v>=DISPIMG("ID_26F527B5A4CC491993BBCE8115F6F169",1)</v>
      </c>
      <c r="E560" s="18"/>
      <c r="F560" s="19"/>
      <c r="G560" s="18">
        <f t="shared" si="5"/>
        <v>32</v>
      </c>
      <c r="H560" s="22">
        <v>28</v>
      </c>
      <c r="I560" s="19">
        <v>30</v>
      </c>
    </row>
    <row r="561" ht="60" customHeight="1" spans="1:9">
      <c r="A561" s="21" t="s">
        <v>1092</v>
      </c>
      <c r="B561" s="41" t="s">
        <v>1093</v>
      </c>
      <c r="C561" s="16"/>
      <c r="D561" s="42" t="str">
        <f>_xlfn.DISPIMG("ID_9F7A4B93720242EFB7DFABD2E30FD2BE",1)</f>
        <v>=DISPIMG("ID_9F7A4B93720242EFB7DFABD2E30FD2BE",1)</v>
      </c>
      <c r="E561" s="18"/>
      <c r="F561" s="19"/>
      <c r="G561" s="18">
        <f t="shared" si="5"/>
        <v>28</v>
      </c>
      <c r="H561" s="22">
        <v>24</v>
      </c>
      <c r="I561" s="19">
        <v>26</v>
      </c>
    </row>
    <row r="562" ht="86" customHeight="1" spans="1:9">
      <c r="A562" s="1" t="s">
        <v>1094</v>
      </c>
      <c r="B562" s="78"/>
      <c r="C562" s="78"/>
      <c r="D562" s="78"/>
      <c r="E562" s="78"/>
      <c r="F562" s="78"/>
      <c r="G562" s="82"/>
      <c r="H562" s="78"/>
      <c r="I562" s="78"/>
    </row>
    <row r="563" ht="100.15" customHeight="1" spans="1:9">
      <c r="A563" s="21" t="s">
        <v>1095</v>
      </c>
      <c r="B563" s="41" t="s">
        <v>1096</v>
      </c>
      <c r="C563" s="16" t="s">
        <v>87</v>
      </c>
      <c r="D563" s="42" t="str">
        <f>_xlfn.DISPIMG("ID_573E342C7AF44E49A961561EECB660EB",1)</f>
        <v>=DISPIMG("ID_573E342C7AF44E49A961561EECB660EB",1)</v>
      </c>
      <c r="E563" s="27">
        <v>100</v>
      </c>
      <c r="F563" s="19">
        <v>25</v>
      </c>
      <c r="G563" s="18">
        <v>30</v>
      </c>
      <c r="H563" s="22">
        <v>28</v>
      </c>
      <c r="I563" s="19">
        <v>30</v>
      </c>
    </row>
    <row r="564" ht="100.15" customHeight="1" spans="1:9">
      <c r="A564" s="21" t="s">
        <v>1097</v>
      </c>
      <c r="B564" s="41" t="s">
        <v>1098</v>
      </c>
      <c r="C564" s="16" t="s">
        <v>87</v>
      </c>
      <c r="D564" s="42" t="str">
        <f>_xlfn.DISPIMG("ID_A8D2074C9C0B4373AA458A0AF0780521",1)</f>
        <v>=DISPIMG("ID_A8D2074C9C0B4373AA458A0AF0780521",1)</v>
      </c>
      <c r="E564" s="27"/>
      <c r="F564" s="19">
        <v>24</v>
      </c>
      <c r="G564" s="18">
        <v>29</v>
      </c>
      <c r="H564" s="22">
        <v>26</v>
      </c>
      <c r="I564" s="19">
        <v>28</v>
      </c>
    </row>
    <row r="565" ht="100.15" customHeight="1" spans="1:9">
      <c r="A565" s="21" t="s">
        <v>1099</v>
      </c>
      <c r="B565" s="41" t="s">
        <v>1100</v>
      </c>
      <c r="C565" s="16" t="s">
        <v>87</v>
      </c>
      <c r="D565" s="42" t="str">
        <f>_xlfn.DISPIMG("ID_723EDF52F2A440D5849806E442250C6C",1)</f>
        <v>=DISPIMG("ID_723EDF52F2A440D5849806E442250C6C",1)</v>
      </c>
      <c r="E565" s="27">
        <v>60</v>
      </c>
      <c r="F565" s="19">
        <v>25</v>
      </c>
      <c r="G565" s="18">
        <v>29</v>
      </c>
      <c r="H565" s="22">
        <v>28</v>
      </c>
      <c r="I565" s="19">
        <v>30</v>
      </c>
    </row>
    <row r="566" ht="100.15" customHeight="1" spans="1:9">
      <c r="A566" s="21" t="s">
        <v>1101</v>
      </c>
      <c r="B566" s="41" t="s">
        <v>1102</v>
      </c>
      <c r="C566" s="16" t="s">
        <v>87</v>
      </c>
      <c r="D566" s="51" t="str">
        <f>_xlfn.DISPIMG("ID_78D4C06D0900447DB4264850309F1D9A",1)</f>
        <v>=DISPIMG("ID_78D4C06D0900447DB4264850309F1D9A",1)</v>
      </c>
      <c r="E566" s="27">
        <v>60</v>
      </c>
      <c r="F566" s="19">
        <v>28</v>
      </c>
      <c r="G566" s="18">
        <v>35</v>
      </c>
      <c r="H566" s="22">
        <v>32</v>
      </c>
      <c r="I566" s="19">
        <v>34</v>
      </c>
    </row>
    <row r="567" ht="100.15" customHeight="1" spans="1:9">
      <c r="A567" s="21" t="s">
        <v>1103</v>
      </c>
      <c r="B567" s="41" t="s">
        <v>1104</v>
      </c>
      <c r="C567" s="16" t="s">
        <v>87</v>
      </c>
      <c r="D567" s="42" t="str">
        <f>_xlfn.DISPIMG("ID_DB360FEC64EA40CA9701C52FED9B8B6F",1)</f>
        <v>=DISPIMG("ID_DB360FEC64EA40CA9701C52FED9B8B6F",1)</v>
      </c>
      <c r="E567" s="27">
        <v>200</v>
      </c>
      <c r="F567" s="19">
        <v>23.75</v>
      </c>
      <c r="G567" s="18">
        <v>27</v>
      </c>
      <c r="H567" s="22">
        <v>25.5</v>
      </c>
      <c r="I567" s="19">
        <v>27.5</v>
      </c>
    </row>
    <row r="568" ht="100.15" customHeight="1" spans="1:9">
      <c r="A568" s="21" t="s">
        <v>1105</v>
      </c>
      <c r="B568" s="41" t="s">
        <v>1106</v>
      </c>
      <c r="C568" s="16" t="s">
        <v>87</v>
      </c>
      <c r="D568" s="42" t="str">
        <f>_xlfn.DISPIMG("ID_58925BC8A523423C85716E9C533D6C6A",1)</f>
        <v>=DISPIMG("ID_58925BC8A523423C85716E9C533D6C6A",1)</v>
      </c>
      <c r="E568" s="27">
        <v>100</v>
      </c>
      <c r="F568" s="19">
        <v>21</v>
      </c>
      <c r="G568" s="18">
        <v>25</v>
      </c>
      <c r="H568" s="22">
        <v>22</v>
      </c>
      <c r="I568" s="19">
        <v>24</v>
      </c>
    </row>
    <row r="569" ht="60" customHeight="1" spans="1:9">
      <c r="A569" s="21" t="s">
        <v>1107</v>
      </c>
      <c r="B569" s="41" t="s">
        <v>1108</v>
      </c>
      <c r="C569" s="16"/>
      <c r="D569" s="42" t="str">
        <f>_xlfn.DISPIMG("ID_6168F4340E824BD68C9FD0B034DDECFA",1)</f>
        <v>=DISPIMG("ID_6168F4340E824BD68C9FD0B034DDECFA",1)</v>
      </c>
      <c r="E569" s="18"/>
      <c r="F569" s="19"/>
      <c r="G569" s="18">
        <f>I569+2</f>
        <v>33</v>
      </c>
      <c r="H569" s="22">
        <v>29</v>
      </c>
      <c r="I569" s="19">
        <v>31</v>
      </c>
    </row>
    <row r="570" ht="60" customHeight="1" spans="1:9">
      <c r="A570" s="21" t="s">
        <v>1109</v>
      </c>
      <c r="B570" s="41" t="s">
        <v>1110</v>
      </c>
      <c r="C570" s="16"/>
      <c r="D570" s="42" t="str">
        <f>_xlfn.DISPIMG("ID_4EF9880E61F4445AB1371113B4921E43",1)</f>
        <v>=DISPIMG("ID_4EF9880E61F4445AB1371113B4921E43",1)</v>
      </c>
      <c r="E570" s="18"/>
      <c r="F570" s="19"/>
      <c r="G570" s="18">
        <f t="shared" ref="G570:G583" si="6">I570+2</f>
        <v>37</v>
      </c>
      <c r="H570" s="22">
        <v>33</v>
      </c>
      <c r="I570" s="19">
        <v>35</v>
      </c>
    </row>
    <row r="571" ht="60" customHeight="1" spans="1:9">
      <c r="A571" s="21" t="s">
        <v>1111</v>
      </c>
      <c r="B571" s="41" t="s">
        <v>1112</v>
      </c>
      <c r="C571" s="16"/>
      <c r="D571" s="42" t="str">
        <f>_xlfn.DISPIMG("ID_F0F28FF17A9B46A08A45670A85749D99",1)</f>
        <v>=DISPIMG("ID_F0F28FF17A9B46A08A45670A85749D99",1)</v>
      </c>
      <c r="E571" s="18"/>
      <c r="F571" s="19"/>
      <c r="G571" s="18">
        <f t="shared" si="6"/>
        <v>44</v>
      </c>
      <c r="H571" s="22">
        <v>40</v>
      </c>
      <c r="I571" s="19">
        <v>42</v>
      </c>
    </row>
    <row r="572" ht="60" customHeight="1" spans="1:9">
      <c r="A572" s="21" t="s">
        <v>1113</v>
      </c>
      <c r="B572" s="41" t="s">
        <v>1114</v>
      </c>
      <c r="C572" s="16"/>
      <c r="D572" s="42" t="str">
        <f>_xlfn.DISPIMG("ID_246191D9D5B1495387F1088C838BD597",1)</f>
        <v>=DISPIMG("ID_246191D9D5B1495387F1088C838BD597",1)</v>
      </c>
      <c r="E572" s="18"/>
      <c r="F572" s="19"/>
      <c r="G572" s="18">
        <f t="shared" si="6"/>
        <v>34</v>
      </c>
      <c r="H572" s="22">
        <v>30</v>
      </c>
      <c r="I572" s="19">
        <v>32</v>
      </c>
    </row>
    <row r="573" ht="60" customHeight="1" spans="1:9">
      <c r="A573" s="21" t="s">
        <v>1115</v>
      </c>
      <c r="B573" s="41" t="s">
        <v>1116</v>
      </c>
      <c r="C573" s="16"/>
      <c r="D573" s="42" t="str">
        <f>_xlfn.DISPIMG("ID_724E5024826D43ECAD1B7210B2321A90",1)</f>
        <v>=DISPIMG("ID_724E5024826D43ECAD1B7210B2321A90",1)</v>
      </c>
      <c r="E573" s="18"/>
      <c r="F573" s="19"/>
      <c r="G573" s="18">
        <f t="shared" si="6"/>
        <v>39</v>
      </c>
      <c r="H573" s="22">
        <v>35</v>
      </c>
      <c r="I573" s="19">
        <v>37</v>
      </c>
    </row>
    <row r="574" ht="60" customHeight="1" spans="1:9">
      <c r="A574" s="21" t="s">
        <v>1117</v>
      </c>
      <c r="B574" s="41" t="s">
        <v>1118</v>
      </c>
      <c r="C574" s="16"/>
      <c r="D574" s="42" t="str">
        <f>_xlfn.DISPIMG("ID_AA6243E2F860421499714954C1BE631F",1)</f>
        <v>=DISPIMG("ID_AA6243E2F860421499714954C1BE631F",1)</v>
      </c>
      <c r="E574" s="18"/>
      <c r="F574" s="19"/>
      <c r="G574" s="18">
        <f t="shared" si="6"/>
        <v>37</v>
      </c>
      <c r="H574" s="22">
        <v>33</v>
      </c>
      <c r="I574" s="19">
        <v>35</v>
      </c>
    </row>
    <row r="575" ht="60" customHeight="1" spans="1:9">
      <c r="A575" s="21" t="s">
        <v>1119</v>
      </c>
      <c r="B575" s="41" t="s">
        <v>1120</v>
      </c>
      <c r="C575" s="16"/>
      <c r="D575" s="42" t="str">
        <f>_xlfn.DISPIMG("ID_05230B543F274CA783C7CB78D8A7826B",1)</f>
        <v>=DISPIMG("ID_05230B543F274CA783C7CB78D8A7826B",1)</v>
      </c>
      <c r="E575" s="18"/>
      <c r="F575" s="19"/>
      <c r="G575" s="18">
        <f t="shared" si="6"/>
        <v>28</v>
      </c>
      <c r="H575" s="22">
        <v>24</v>
      </c>
      <c r="I575" s="19">
        <v>26</v>
      </c>
    </row>
    <row r="576" ht="60" customHeight="1" spans="1:9">
      <c r="A576" s="21" t="s">
        <v>1121</v>
      </c>
      <c r="B576" s="41" t="s">
        <v>1122</v>
      </c>
      <c r="C576" s="16"/>
      <c r="D576" s="42" t="str">
        <f>_xlfn.DISPIMG("ID_3CFE3473A61A470BAB6F816CFEF9465D",1)</f>
        <v>=DISPIMG("ID_3CFE3473A61A470BAB6F816CFEF9465D",1)</v>
      </c>
      <c r="E576" s="18"/>
      <c r="F576" s="19"/>
      <c r="G576" s="18">
        <f t="shared" si="6"/>
        <v>32</v>
      </c>
      <c r="H576" s="22">
        <v>28</v>
      </c>
      <c r="I576" s="19">
        <v>30</v>
      </c>
    </row>
    <row r="577" ht="60" customHeight="1" spans="1:9">
      <c r="A577" s="21" t="s">
        <v>1123</v>
      </c>
      <c r="B577" s="41" t="s">
        <v>1124</v>
      </c>
      <c r="C577" s="16"/>
      <c r="D577" s="42" t="str">
        <f>_xlfn.DISPIMG("ID_CBAD1BF5CDA9485C8C73770C04E5CCB7",1)</f>
        <v>=DISPIMG("ID_CBAD1BF5CDA9485C8C73770C04E5CCB7",1)</v>
      </c>
      <c r="E577" s="18"/>
      <c r="F577" s="19"/>
      <c r="G577" s="18">
        <f t="shared" si="6"/>
        <v>30</v>
      </c>
      <c r="H577" s="22">
        <v>26</v>
      </c>
      <c r="I577" s="19">
        <v>28</v>
      </c>
    </row>
    <row r="578" ht="60" customHeight="1" spans="1:9">
      <c r="A578" s="21" t="s">
        <v>1125</v>
      </c>
      <c r="B578" s="41" t="s">
        <v>1126</v>
      </c>
      <c r="C578" s="16"/>
      <c r="D578" s="42" t="str">
        <f>_xlfn.DISPIMG("ID_B13964A676674BC9ACF6F3B23E612571",1)</f>
        <v>=DISPIMG("ID_B13964A676674BC9ACF6F3B23E612571",1)</v>
      </c>
      <c r="E578" s="18"/>
      <c r="F578" s="19"/>
      <c r="G578" s="18">
        <f t="shared" si="6"/>
        <v>26</v>
      </c>
      <c r="H578" s="22">
        <v>22</v>
      </c>
      <c r="I578" s="19">
        <v>24</v>
      </c>
    </row>
    <row r="579" ht="60" customHeight="1" spans="1:9">
      <c r="A579" s="21" t="s">
        <v>1127</v>
      </c>
      <c r="B579" s="41" t="s">
        <v>1128</v>
      </c>
      <c r="C579" s="16"/>
      <c r="D579" s="42" t="str">
        <f>_xlfn.DISPIMG("ID_E4AEEFA24E8845ABB2A065FF850C9188",1)</f>
        <v>=DISPIMG("ID_E4AEEFA24E8845ABB2A065FF850C9188",1)</v>
      </c>
      <c r="E579" s="18"/>
      <c r="F579" s="19"/>
      <c r="G579" s="18">
        <f t="shared" si="6"/>
        <v>26</v>
      </c>
      <c r="H579" s="22">
        <v>22</v>
      </c>
      <c r="I579" s="19">
        <v>24</v>
      </c>
    </row>
    <row r="580" ht="60" customHeight="1" spans="1:9">
      <c r="A580" s="21" t="s">
        <v>1129</v>
      </c>
      <c r="B580" s="41" t="s">
        <v>1130</v>
      </c>
      <c r="C580" s="16"/>
      <c r="D580" s="42" t="str">
        <f>_xlfn.DISPIMG("ID_49B4BDB4336F4189A1996F9FACEE4BE2",1)</f>
        <v>=DISPIMG("ID_49B4BDB4336F4189A1996F9FACEE4BE2",1)</v>
      </c>
      <c r="E580" s="18"/>
      <c r="F580" s="19"/>
      <c r="G580" s="18">
        <f t="shared" si="6"/>
        <v>26</v>
      </c>
      <c r="H580" s="22">
        <v>22</v>
      </c>
      <c r="I580" s="19">
        <v>24</v>
      </c>
    </row>
    <row r="581" ht="60" customHeight="1" spans="1:9">
      <c r="A581" s="21" t="s">
        <v>1131</v>
      </c>
      <c r="B581" s="41" t="s">
        <v>1132</v>
      </c>
      <c r="C581" s="16"/>
      <c r="D581" s="42" t="str">
        <f>_xlfn.DISPIMG("ID_9822A5925A924CD9A880EE21844ECAA7",1)</f>
        <v>=DISPIMG("ID_9822A5925A924CD9A880EE21844ECAA7",1)</v>
      </c>
      <c r="E581" s="18"/>
      <c r="F581" s="19"/>
      <c r="G581" s="18">
        <f t="shared" si="6"/>
        <v>26</v>
      </c>
      <c r="H581" s="22">
        <v>22</v>
      </c>
      <c r="I581" s="19">
        <v>24</v>
      </c>
    </row>
    <row r="582" ht="60" customHeight="1" spans="1:9">
      <c r="A582" s="21" t="s">
        <v>1133</v>
      </c>
      <c r="B582" s="41" t="s">
        <v>1134</v>
      </c>
      <c r="C582" s="16"/>
      <c r="D582" s="42" t="str">
        <f>_xlfn.DISPIMG("ID_2DBAD68B8E914A468F9170EBBE2B4C6A",1)</f>
        <v>=DISPIMG("ID_2DBAD68B8E914A468F9170EBBE2B4C6A",1)</v>
      </c>
      <c r="E582" s="18"/>
      <c r="F582" s="19"/>
      <c r="G582" s="18">
        <f t="shared" si="6"/>
        <v>26</v>
      </c>
      <c r="H582" s="22">
        <v>22</v>
      </c>
      <c r="I582" s="19">
        <v>24</v>
      </c>
    </row>
    <row r="583" ht="85" customHeight="1" spans="1:9">
      <c r="A583" s="1" t="s">
        <v>1135</v>
      </c>
      <c r="B583" s="78"/>
      <c r="C583" s="78"/>
      <c r="D583" s="78"/>
      <c r="E583" s="78"/>
      <c r="F583" s="78"/>
      <c r="G583" s="18"/>
      <c r="H583" s="78"/>
      <c r="I583" s="78"/>
    </row>
    <row r="584" ht="100.15" customHeight="1" spans="1:9">
      <c r="A584" s="21" t="s">
        <v>1136</v>
      </c>
      <c r="B584" s="41" t="s">
        <v>1137</v>
      </c>
      <c r="C584" s="16" t="s">
        <v>87</v>
      </c>
      <c r="D584" s="42" t="str">
        <f>_xlfn.DISPIMG("ID_5701E3A7A2884703A5E8C7E427F71D2C",1)</f>
        <v>=DISPIMG("ID_5701E3A7A2884703A5E8C7E427F71D2C",1)</v>
      </c>
      <c r="E584" s="18">
        <v>120</v>
      </c>
      <c r="F584" s="19" t="s">
        <v>1138</v>
      </c>
      <c r="G584" s="18">
        <v>28</v>
      </c>
      <c r="H584" s="22">
        <v>27</v>
      </c>
      <c r="I584" s="19">
        <v>29</v>
      </c>
    </row>
    <row r="585" ht="100.15" customHeight="1" spans="1:9">
      <c r="A585" s="21" t="s">
        <v>1139</v>
      </c>
      <c r="B585" s="41" t="s">
        <v>1140</v>
      </c>
      <c r="C585" s="16" t="s">
        <v>87</v>
      </c>
      <c r="D585" s="90" t="str">
        <f>_xlfn.DISPIMG("ID_F0A5FE4818AB470880F5A9187D661C03",1)</f>
        <v>=DISPIMG("ID_F0A5FE4818AB470880F5A9187D661C03",1)</v>
      </c>
      <c r="E585" s="18">
        <v>120</v>
      </c>
      <c r="F585" s="19" t="s">
        <v>1138</v>
      </c>
      <c r="G585" s="18">
        <v>28</v>
      </c>
      <c r="H585" s="22">
        <v>27</v>
      </c>
      <c r="I585" s="19">
        <v>29</v>
      </c>
    </row>
    <row r="586" ht="100.15" customHeight="1" spans="1:9">
      <c r="A586" s="21" t="s">
        <v>1141</v>
      </c>
      <c r="B586" s="41" t="s">
        <v>1142</v>
      </c>
      <c r="C586" s="16" t="s">
        <v>87</v>
      </c>
      <c r="D586" s="90" t="str">
        <f>_xlfn.DISPIMG("ID_6FE52709082C483F95DE0F9FB4B51688",1)</f>
        <v>=DISPIMG("ID_6FE52709082C483F95DE0F9FB4B51688",1)</v>
      </c>
      <c r="E586" s="18">
        <v>120</v>
      </c>
      <c r="F586" s="19">
        <v>26</v>
      </c>
      <c r="G586" s="18">
        <v>30</v>
      </c>
      <c r="H586" s="22">
        <v>29</v>
      </c>
      <c r="I586" s="19">
        <v>31</v>
      </c>
    </row>
    <row r="587" ht="60" customHeight="1" spans="1:9">
      <c r="A587" s="21" t="s">
        <v>1143</v>
      </c>
      <c r="B587" s="41" t="s">
        <v>1144</v>
      </c>
      <c r="C587" s="16"/>
      <c r="D587" s="42" t="str">
        <f>_xlfn.DISPIMG("ID_E0D0087DC0DE43348EB278020F3AF089",1)</f>
        <v>=DISPIMG("ID_E0D0087DC0DE43348EB278020F3AF089",1)</v>
      </c>
      <c r="E587" s="18"/>
      <c r="F587" s="19"/>
      <c r="G587" s="18">
        <f>I587+2</f>
        <v>27</v>
      </c>
      <c r="H587" s="22">
        <v>23</v>
      </c>
      <c r="I587" s="19">
        <v>25</v>
      </c>
    </row>
    <row r="588" ht="60" customHeight="1" spans="1:9">
      <c r="A588" s="21" t="s">
        <v>1145</v>
      </c>
      <c r="B588" s="41" t="s">
        <v>1146</v>
      </c>
      <c r="C588" s="16"/>
      <c r="D588" s="42" t="str">
        <f>_xlfn.DISPIMG("ID_FCA6C850A15D4B598DAD5E985196B714",1)</f>
        <v>=DISPIMG("ID_FCA6C850A15D4B598DAD5E985196B714",1)</v>
      </c>
      <c r="E588" s="18"/>
      <c r="F588" s="19"/>
      <c r="G588" s="18">
        <f t="shared" ref="G588:G599" si="7">I588+2</f>
        <v>33</v>
      </c>
      <c r="H588" s="22">
        <v>29</v>
      </c>
      <c r="I588" s="19">
        <v>31</v>
      </c>
    </row>
    <row r="589" ht="60" customHeight="1" spans="1:9">
      <c r="A589" s="21" t="s">
        <v>1147</v>
      </c>
      <c r="B589" s="41" t="s">
        <v>1148</v>
      </c>
      <c r="C589" s="16"/>
      <c r="D589" s="42" t="str">
        <f>_xlfn.DISPIMG("ID_5CCB2274947549138A06222963D1D4F9",1)</f>
        <v>=DISPIMG("ID_5CCB2274947549138A06222963D1D4F9",1)</v>
      </c>
      <c r="E589" s="18"/>
      <c r="F589" s="19"/>
      <c r="G589" s="18">
        <f t="shared" si="7"/>
        <v>10</v>
      </c>
      <c r="H589" s="22">
        <v>6</v>
      </c>
      <c r="I589" s="19">
        <v>8</v>
      </c>
    </row>
    <row r="590" ht="60" customHeight="1" spans="1:9">
      <c r="A590" s="21" t="s">
        <v>1149</v>
      </c>
      <c r="B590" s="41" t="s">
        <v>1150</v>
      </c>
      <c r="C590" s="16"/>
      <c r="D590" s="42" t="str">
        <f>_xlfn.DISPIMG("ID_E847DD66487E43A98E21272F3678D50B",1)</f>
        <v>=DISPIMG("ID_E847DD66487E43A98E21272F3678D50B",1)</v>
      </c>
      <c r="E590" s="18"/>
      <c r="F590" s="19"/>
      <c r="G590" s="18">
        <f t="shared" si="7"/>
        <v>40</v>
      </c>
      <c r="H590" s="22">
        <v>36</v>
      </c>
      <c r="I590" s="19">
        <v>38</v>
      </c>
    </row>
    <row r="591" ht="60" customHeight="1" spans="1:9">
      <c r="A591" s="21" t="s">
        <v>1151</v>
      </c>
      <c r="B591" s="41" t="s">
        <v>1152</v>
      </c>
      <c r="C591" s="16"/>
      <c r="D591" s="42" t="str">
        <f>_xlfn.DISPIMG("ID_A3A211459C9D4F8EAE020F81EFA83251",1)</f>
        <v>=DISPIMG("ID_A3A211459C9D4F8EAE020F81EFA83251",1)</v>
      </c>
      <c r="E591" s="18"/>
      <c r="F591" s="19"/>
      <c r="G591" s="18">
        <f t="shared" si="7"/>
        <v>33</v>
      </c>
      <c r="H591" s="22">
        <v>29</v>
      </c>
      <c r="I591" s="19">
        <v>31</v>
      </c>
    </row>
    <row r="592" ht="60" customHeight="1" spans="1:9">
      <c r="A592" s="21" t="s">
        <v>1153</v>
      </c>
      <c r="B592" s="41" t="s">
        <v>1154</v>
      </c>
      <c r="C592" s="16"/>
      <c r="D592" s="42" t="str">
        <f>_xlfn.DISPIMG("ID_C7C2F55EDE70497C9015451D4A8E862A",1)</f>
        <v>=DISPIMG("ID_C7C2F55EDE70497C9015451D4A8E862A",1)</v>
      </c>
      <c r="E592" s="18"/>
      <c r="F592" s="19"/>
      <c r="G592" s="18">
        <f t="shared" si="7"/>
        <v>33</v>
      </c>
      <c r="H592" s="22">
        <v>29</v>
      </c>
      <c r="I592" s="19">
        <v>31</v>
      </c>
    </row>
    <row r="593" ht="60" customHeight="1" spans="1:9">
      <c r="A593" s="21" t="s">
        <v>1155</v>
      </c>
      <c r="B593" s="41" t="s">
        <v>1156</v>
      </c>
      <c r="C593" s="16"/>
      <c r="D593" s="42" t="str">
        <f>_xlfn.DISPIMG("ID_3B26A455AB624F3D914101CB24491B3D",1)</f>
        <v>=DISPIMG("ID_3B26A455AB624F3D914101CB24491B3D",1)</v>
      </c>
      <c r="E593" s="18"/>
      <c r="F593" s="19"/>
      <c r="G593" s="18">
        <f t="shared" si="7"/>
        <v>36</v>
      </c>
      <c r="H593" s="22">
        <v>32</v>
      </c>
      <c r="I593" s="19">
        <v>34</v>
      </c>
    </row>
    <row r="594" ht="60" customHeight="1" spans="1:9">
      <c r="A594" s="21" t="s">
        <v>1157</v>
      </c>
      <c r="B594" s="41" t="s">
        <v>1158</v>
      </c>
      <c r="C594" s="16"/>
      <c r="D594" s="42" t="str">
        <f>_xlfn.DISPIMG("ID_D7903FCD5B2C4D1D9765253DD3BBE078",1)</f>
        <v>=DISPIMG("ID_D7903FCD5B2C4D1D9765253DD3BBE078",1)</v>
      </c>
      <c r="E594" s="18"/>
      <c r="F594" s="19"/>
      <c r="G594" s="18">
        <f t="shared" si="7"/>
        <v>70</v>
      </c>
      <c r="H594" s="22">
        <v>66</v>
      </c>
      <c r="I594" s="19">
        <v>68</v>
      </c>
    </row>
    <row r="595" ht="60" customHeight="1" spans="1:9">
      <c r="A595" s="21" t="s">
        <v>1159</v>
      </c>
      <c r="B595" s="41" t="s">
        <v>1160</v>
      </c>
      <c r="C595" s="16"/>
      <c r="D595" s="42" t="str">
        <f>_xlfn.DISPIMG("ID_7756BB1E85774E2DB8D9B6939B705E34",1)</f>
        <v>=DISPIMG("ID_7756BB1E85774E2DB8D9B6939B705E34",1)</v>
      </c>
      <c r="E595" s="18"/>
      <c r="F595" s="19"/>
      <c r="G595" s="18">
        <f t="shared" si="7"/>
        <v>39</v>
      </c>
      <c r="H595" s="22">
        <v>35</v>
      </c>
      <c r="I595" s="19">
        <v>37</v>
      </c>
    </row>
    <row r="596" ht="60" customHeight="1" spans="1:9">
      <c r="A596" s="21" t="s">
        <v>1161</v>
      </c>
      <c r="B596" s="41" t="s">
        <v>1162</v>
      </c>
      <c r="C596" s="16"/>
      <c r="D596" s="42" t="str">
        <f>_xlfn.DISPIMG("ID_1744553FD7774D8BAD8E6B14A76C06A6",1)</f>
        <v>=DISPIMG("ID_1744553FD7774D8BAD8E6B14A76C06A6",1)</v>
      </c>
      <c r="E596" s="18"/>
      <c r="F596" s="19"/>
      <c r="G596" s="18">
        <f t="shared" si="7"/>
        <v>34</v>
      </c>
      <c r="H596" s="22">
        <v>30</v>
      </c>
      <c r="I596" s="19">
        <v>32</v>
      </c>
    </row>
    <row r="597" ht="60" customHeight="1" spans="1:9">
      <c r="A597" s="21" t="s">
        <v>1163</v>
      </c>
      <c r="B597" s="41" t="s">
        <v>1164</v>
      </c>
      <c r="C597" s="16"/>
      <c r="D597" s="42" t="str">
        <f>_xlfn.DISPIMG("ID_FF5B85906B72401A8BB4D314E69DEAA3",1)</f>
        <v>=DISPIMG("ID_FF5B85906B72401A8BB4D314E69DEAA3",1)</v>
      </c>
      <c r="E597" s="18"/>
      <c r="F597" s="19"/>
      <c r="G597" s="18">
        <f t="shared" si="7"/>
        <v>43</v>
      </c>
      <c r="H597" s="22">
        <v>39</v>
      </c>
      <c r="I597" s="19">
        <v>41</v>
      </c>
    </row>
    <row r="598" ht="60" customHeight="1" spans="1:9">
      <c r="A598" s="21" t="s">
        <v>1165</v>
      </c>
      <c r="B598" s="41" t="s">
        <v>1166</v>
      </c>
      <c r="C598" s="16"/>
      <c r="D598" s="42" t="str">
        <f>_xlfn.DISPIMG("ID_3D7DCFB5CC1A46C7B19E44D54AFF6BC2",1)</f>
        <v>=DISPIMG("ID_3D7DCFB5CC1A46C7B19E44D54AFF6BC2",1)</v>
      </c>
      <c r="E598" s="18"/>
      <c r="F598" s="19"/>
      <c r="G598" s="18">
        <f t="shared" si="7"/>
        <v>33</v>
      </c>
      <c r="H598" s="22">
        <v>29</v>
      </c>
      <c r="I598" s="19">
        <v>31</v>
      </c>
    </row>
    <row r="599" ht="81" customHeight="1" spans="1:9">
      <c r="A599" s="1" t="s">
        <v>1167</v>
      </c>
      <c r="B599" s="13"/>
      <c r="C599" s="13"/>
      <c r="D599" s="13"/>
      <c r="E599" s="13"/>
      <c r="F599" s="13"/>
      <c r="G599" s="18"/>
      <c r="H599" s="13"/>
      <c r="I599" s="13"/>
    </row>
    <row r="600" ht="100.15" customHeight="1" spans="1:9">
      <c r="A600" s="21" t="s">
        <v>1168</v>
      </c>
      <c r="B600" s="41" t="s">
        <v>1169</v>
      </c>
      <c r="C600" s="16" t="s">
        <v>87</v>
      </c>
      <c r="D600" s="42" t="str">
        <f>_xlfn.DISPIMG("ID_32E99BE14E53489487272D7F8E019E6D",1)</f>
        <v>=DISPIMG("ID_32E99BE14E53489487272D7F8E019E6D",1)</v>
      </c>
      <c r="E600" s="18">
        <v>60</v>
      </c>
      <c r="F600" s="19">
        <v>16</v>
      </c>
      <c r="G600" s="18">
        <v>21</v>
      </c>
      <c r="H600" s="22">
        <v>18</v>
      </c>
      <c r="I600" s="19">
        <v>20</v>
      </c>
    </row>
    <row r="601" ht="100.15" customHeight="1" spans="1:9">
      <c r="A601" s="23" t="s">
        <v>1170</v>
      </c>
      <c r="B601" s="89" t="s">
        <v>1171</v>
      </c>
      <c r="C601" s="25" t="s">
        <v>87</v>
      </c>
      <c r="D601" s="49" t="str">
        <f>_xlfn.DISPIMG("ID_67486F3821E54EF38ADEDD643418FA76",1)</f>
        <v>=DISPIMG("ID_67486F3821E54EF38ADEDD643418FA76",1)</v>
      </c>
      <c r="E601" s="18">
        <v>42</v>
      </c>
      <c r="F601" s="28">
        <v>16</v>
      </c>
      <c r="G601" s="18">
        <v>21</v>
      </c>
      <c r="H601" s="22">
        <v>17.5</v>
      </c>
      <c r="I601" s="19">
        <v>19.5</v>
      </c>
    </row>
    <row r="602" ht="100.15" customHeight="1" spans="1:9">
      <c r="A602" s="21" t="s">
        <v>1172</v>
      </c>
      <c r="B602" s="41" t="s">
        <v>1173</v>
      </c>
      <c r="C602" s="25" t="s">
        <v>87</v>
      </c>
      <c r="D602" s="42" t="str">
        <f>_xlfn.DISPIMG("ID_F915FD5B4E2E448CADC1EB41EFBF17AA",1)</f>
        <v>=DISPIMG("ID_F915FD5B4E2E448CADC1EB41EFBF17AA",1)</v>
      </c>
      <c r="E602" s="18"/>
      <c r="F602" s="19">
        <v>33</v>
      </c>
      <c r="G602" s="18">
        <v>35</v>
      </c>
      <c r="H602" s="22">
        <v>35</v>
      </c>
      <c r="I602" s="19">
        <v>37</v>
      </c>
    </row>
    <row r="603" ht="100.15" customHeight="1" spans="1:9">
      <c r="A603" s="21" t="s">
        <v>1174</v>
      </c>
      <c r="B603" s="41" t="s">
        <v>1175</v>
      </c>
      <c r="C603" s="25" t="s">
        <v>87</v>
      </c>
      <c r="D603" s="42" t="str">
        <f>_xlfn.DISPIMG("ID_97546A0637124CEE8FBBF415CD27FEB8",1)</f>
        <v>=DISPIMG("ID_97546A0637124CEE8FBBF415CD27FEB8",1)</v>
      </c>
      <c r="E603" s="18">
        <v>60</v>
      </c>
      <c r="F603" s="19">
        <v>28</v>
      </c>
      <c r="G603" s="18">
        <v>32</v>
      </c>
      <c r="H603" s="22">
        <v>30</v>
      </c>
      <c r="I603" s="19">
        <v>32</v>
      </c>
    </row>
    <row r="604" ht="100.15" customHeight="1" spans="1:9">
      <c r="A604" s="21" t="s">
        <v>1176</v>
      </c>
      <c r="B604" s="41" t="s">
        <v>1177</v>
      </c>
      <c r="C604" s="25" t="s">
        <v>87</v>
      </c>
      <c r="D604" s="42" t="str">
        <f>_xlfn.DISPIMG("ID_B046FF5E675F4D2C93102644BE06F32F",1)</f>
        <v>=DISPIMG("ID_B046FF5E675F4D2C93102644BE06F32F",1)</v>
      </c>
      <c r="E604" s="18">
        <v>60</v>
      </c>
      <c r="F604" s="19">
        <v>22.5</v>
      </c>
      <c r="G604" s="18">
        <v>26</v>
      </c>
      <c r="H604" s="22">
        <v>24</v>
      </c>
      <c r="I604" s="19">
        <v>26</v>
      </c>
    </row>
    <row r="605" ht="100.15" customHeight="1" spans="1:9">
      <c r="A605" s="21" t="s">
        <v>1178</v>
      </c>
      <c r="B605" s="41" t="s">
        <v>1179</v>
      </c>
      <c r="C605" s="25" t="s">
        <v>87</v>
      </c>
      <c r="D605" s="42" t="str">
        <f>_xlfn.DISPIMG("ID_D15DDF187C7C4CC0AA36D46A6A61E20C",1)</f>
        <v>=DISPIMG("ID_D15DDF187C7C4CC0AA36D46A6A61E20C",1)</v>
      </c>
      <c r="E605" s="18">
        <v>63</v>
      </c>
      <c r="F605" s="19">
        <v>46</v>
      </c>
      <c r="G605" s="18">
        <v>49</v>
      </c>
      <c r="H605" s="22">
        <v>47</v>
      </c>
      <c r="I605" s="19">
        <v>49</v>
      </c>
    </row>
    <row r="606" ht="100.15" customHeight="1" spans="1:9">
      <c r="A606" s="21" t="s">
        <v>1180</v>
      </c>
      <c r="B606" s="41" t="s">
        <v>1181</v>
      </c>
      <c r="C606" s="25" t="s">
        <v>87</v>
      </c>
      <c r="D606" s="42" t="str">
        <f>_xlfn.DISPIMG("ID_933CEE4D163E473D895B3536A1D5B810",1)</f>
        <v>=DISPIMG("ID_933CEE4D163E473D895B3536A1D5B810",1)</v>
      </c>
      <c r="E606" s="18">
        <v>60</v>
      </c>
      <c r="F606" s="19">
        <v>29</v>
      </c>
      <c r="G606" s="18">
        <v>35</v>
      </c>
      <c r="H606" s="22">
        <v>33</v>
      </c>
      <c r="I606" s="19">
        <v>35</v>
      </c>
    </row>
    <row r="607" ht="100.15" customHeight="1" spans="1:9">
      <c r="A607" s="21" t="s">
        <v>1182</v>
      </c>
      <c r="B607" s="41" t="s">
        <v>1183</v>
      </c>
      <c r="C607" s="25" t="s">
        <v>87</v>
      </c>
      <c r="D607" s="42" t="str">
        <f>_xlfn.DISPIMG("ID_9AE53F9078D74C9CBA95451C3833546F",1)</f>
        <v>=DISPIMG("ID_9AE53F9078D74C9CBA95451C3833546F",1)</v>
      </c>
      <c r="E607" s="18">
        <v>60</v>
      </c>
      <c r="F607" s="19">
        <v>28</v>
      </c>
      <c r="G607" s="18">
        <v>31</v>
      </c>
      <c r="H607" s="22">
        <v>29</v>
      </c>
      <c r="I607" s="19">
        <v>31</v>
      </c>
    </row>
    <row r="608" ht="100.15" customHeight="1" spans="1:9">
      <c r="A608" s="21" t="s">
        <v>1184</v>
      </c>
      <c r="B608" s="41" t="s">
        <v>1185</v>
      </c>
      <c r="C608" s="25" t="s">
        <v>87</v>
      </c>
      <c r="D608" s="42" t="str">
        <f>_xlfn.DISPIMG("ID_6FF30C4F834C446AB8D33035BFDC3A2A",1)</f>
        <v>=DISPIMG("ID_6FF30C4F834C446AB8D33035BFDC3A2A",1)</v>
      </c>
      <c r="E608" s="18"/>
      <c r="F608" s="19">
        <v>36</v>
      </c>
      <c r="G608" s="18">
        <v>38</v>
      </c>
      <c r="H608" s="22">
        <v>38</v>
      </c>
      <c r="I608" s="19">
        <v>40</v>
      </c>
    </row>
    <row r="609" ht="100.15" customHeight="1" spans="1:9">
      <c r="A609" s="21" t="s">
        <v>1186</v>
      </c>
      <c r="B609" s="41" t="s">
        <v>1187</v>
      </c>
      <c r="C609" s="25" t="s">
        <v>87</v>
      </c>
      <c r="D609" s="42" t="str">
        <f>_xlfn.DISPIMG("ID_2E31A721DCE14154A2365D0432D0306A",1)</f>
        <v>=DISPIMG("ID_2E31A721DCE14154A2365D0432D0306A",1)</v>
      </c>
      <c r="E609" s="18">
        <v>96</v>
      </c>
      <c r="F609" s="19">
        <v>19</v>
      </c>
      <c r="G609" s="18">
        <v>23</v>
      </c>
      <c r="H609" s="22">
        <v>21</v>
      </c>
      <c r="I609" s="19">
        <v>23</v>
      </c>
    </row>
    <row r="610" ht="100.15" customHeight="1" spans="1:9">
      <c r="A610" s="21" t="s">
        <v>1188</v>
      </c>
      <c r="B610" s="41" t="s">
        <v>1189</v>
      </c>
      <c r="C610" s="25" t="s">
        <v>87</v>
      </c>
      <c r="D610" s="42" t="str">
        <f>_xlfn.DISPIMG("ID_F1B2C499AF9043909C92CD44B87DDA67",1)</f>
        <v>=DISPIMG("ID_F1B2C499AF9043909C92CD44B87DDA67",1)</v>
      </c>
      <c r="E610" s="18">
        <v>40</v>
      </c>
      <c r="F610" s="19">
        <v>33</v>
      </c>
      <c r="G610" s="18">
        <v>35</v>
      </c>
      <c r="H610" s="22">
        <v>35</v>
      </c>
      <c r="I610" s="19">
        <v>37</v>
      </c>
    </row>
    <row r="611" ht="60" customHeight="1" spans="1:9">
      <c r="A611" s="21" t="s">
        <v>1190</v>
      </c>
      <c r="B611" s="41" t="s">
        <v>1191</v>
      </c>
      <c r="C611" s="16"/>
      <c r="D611" s="42" t="str">
        <f>_xlfn.DISPIMG("ID_A37B742C70664C4C8F084EF9DCD2E445",1)</f>
        <v>=DISPIMG("ID_A37B742C70664C4C8F084EF9DCD2E445",1)</v>
      </c>
      <c r="E611" s="18"/>
      <c r="F611" s="19"/>
      <c r="G611" s="18">
        <f>I611+2</f>
        <v>34</v>
      </c>
      <c r="H611" s="22">
        <v>30</v>
      </c>
      <c r="I611" s="19">
        <v>32</v>
      </c>
    </row>
    <row r="612" ht="60" customHeight="1" spans="1:9">
      <c r="A612" s="21" t="s">
        <v>1192</v>
      </c>
      <c r="B612" s="41" t="s">
        <v>1193</v>
      </c>
      <c r="C612" s="16"/>
      <c r="D612" s="42" t="str">
        <f>_xlfn.DISPIMG("ID_A71ABCED04CA40D981293824216FC93C",1)</f>
        <v>=DISPIMG("ID_A71ABCED04CA40D981293824216FC93C",1)</v>
      </c>
      <c r="E612" s="18"/>
      <c r="F612" s="19"/>
      <c r="G612" s="18">
        <f t="shared" ref="G612:G621" si="8">I612+2</f>
        <v>12</v>
      </c>
      <c r="H612" s="22">
        <v>8</v>
      </c>
      <c r="I612" s="19">
        <v>10</v>
      </c>
    </row>
    <row r="613" ht="60" customHeight="1" spans="1:9">
      <c r="A613" s="21" t="s">
        <v>1194</v>
      </c>
      <c r="B613" s="41" t="s">
        <v>1195</v>
      </c>
      <c r="C613" s="16"/>
      <c r="D613" s="42" t="str">
        <f>_xlfn.DISPIMG("ID_6E9ADBD724DA456798C6FB5728F2CED1",1)</f>
        <v>=DISPIMG("ID_6E9ADBD724DA456798C6FB5728F2CED1",1)</v>
      </c>
      <c r="E613" s="18"/>
      <c r="F613" s="19"/>
      <c r="G613" s="18">
        <f t="shared" si="8"/>
        <v>33</v>
      </c>
      <c r="H613" s="22">
        <v>29</v>
      </c>
      <c r="I613" s="19">
        <v>31</v>
      </c>
    </row>
    <row r="614" ht="60" customHeight="1" spans="1:9">
      <c r="A614" s="21" t="s">
        <v>1196</v>
      </c>
      <c r="B614" s="41" t="s">
        <v>1197</v>
      </c>
      <c r="C614" s="16"/>
      <c r="D614" s="42" t="str">
        <f>_xlfn.DISPIMG("ID_06ADE27250E145C2875809E5372CB4B4",1)</f>
        <v>=DISPIMG("ID_06ADE27250E145C2875809E5372CB4B4",1)</v>
      </c>
      <c r="E614" s="18"/>
      <c r="F614" s="19"/>
      <c r="G614" s="18">
        <f t="shared" si="8"/>
        <v>26</v>
      </c>
      <c r="H614" s="22">
        <v>22</v>
      </c>
      <c r="I614" s="19">
        <v>24</v>
      </c>
    </row>
    <row r="615" ht="60" customHeight="1" spans="1:9">
      <c r="A615" s="21" t="s">
        <v>1198</v>
      </c>
      <c r="B615" s="41" t="s">
        <v>1199</v>
      </c>
      <c r="C615" s="16"/>
      <c r="D615" s="42" t="str">
        <f>_xlfn.DISPIMG("ID_9C0AC9D4DDF44467BDDD39F04714C93D",1)</f>
        <v>=DISPIMG("ID_9C0AC9D4DDF44467BDDD39F04714C93D",1)</v>
      </c>
      <c r="E615" s="18"/>
      <c r="F615" s="19"/>
      <c r="G615" s="18">
        <f t="shared" si="8"/>
        <v>38</v>
      </c>
      <c r="H615" s="22">
        <v>34</v>
      </c>
      <c r="I615" s="19">
        <v>36</v>
      </c>
    </row>
    <row r="616" ht="60" customHeight="1" spans="1:9">
      <c r="A616" s="21" t="s">
        <v>1200</v>
      </c>
      <c r="B616" s="41" t="s">
        <v>1201</v>
      </c>
      <c r="C616" s="16"/>
      <c r="D616" s="42" t="str">
        <f>_xlfn.DISPIMG("ID_505D9447CA7243C4ADEF3E9817CD3A27",1)</f>
        <v>=DISPIMG("ID_505D9447CA7243C4ADEF3E9817CD3A27",1)</v>
      </c>
      <c r="E616" s="18"/>
      <c r="F616" s="19"/>
      <c r="G616" s="18">
        <f t="shared" si="8"/>
        <v>16</v>
      </c>
      <c r="H616" s="22">
        <v>12</v>
      </c>
      <c r="I616" s="19">
        <v>14</v>
      </c>
    </row>
    <row r="617" ht="60" customHeight="1" spans="1:9">
      <c r="A617" s="21" t="s">
        <v>1202</v>
      </c>
      <c r="B617" s="41" t="s">
        <v>1203</v>
      </c>
      <c r="C617" s="16"/>
      <c r="D617" s="42" t="str">
        <f>_xlfn.DISPIMG("ID_905509C92680472294B795B92F916308",1)</f>
        <v>=DISPIMG("ID_905509C92680472294B795B92F916308",1)</v>
      </c>
      <c r="E617" s="18"/>
      <c r="F617" s="19"/>
      <c r="G617" s="18">
        <f t="shared" si="8"/>
        <v>29</v>
      </c>
      <c r="H617" s="22">
        <v>25</v>
      </c>
      <c r="I617" s="19">
        <v>27</v>
      </c>
    </row>
    <row r="618" ht="60" customHeight="1" spans="1:9">
      <c r="A618" s="21" t="s">
        <v>1204</v>
      </c>
      <c r="B618" s="41" t="s">
        <v>1205</v>
      </c>
      <c r="C618" s="16"/>
      <c r="D618" s="42" t="str">
        <f>_xlfn.DISPIMG("ID_180995C9B2AC4E8A868D7CC35AB45109",1)</f>
        <v>=DISPIMG("ID_180995C9B2AC4E8A868D7CC35AB45109",1)</v>
      </c>
      <c r="E618" s="18"/>
      <c r="F618" s="19"/>
      <c r="G618" s="18">
        <f t="shared" si="8"/>
        <v>16</v>
      </c>
      <c r="H618" s="22">
        <v>12</v>
      </c>
      <c r="I618" s="19">
        <v>14</v>
      </c>
    </row>
    <row r="619" ht="60" customHeight="1" spans="1:9">
      <c r="A619" s="21" t="s">
        <v>1206</v>
      </c>
      <c r="B619" s="41" t="s">
        <v>1207</v>
      </c>
      <c r="C619" s="16"/>
      <c r="D619" s="42" t="str">
        <f>_xlfn.DISPIMG("ID_BE1D75444F984BBDB88FF13E8EE3BD4C",1)</f>
        <v>=DISPIMG("ID_BE1D75444F984BBDB88FF13E8EE3BD4C",1)</v>
      </c>
      <c r="E619" s="18"/>
      <c r="F619" s="19"/>
      <c r="G619" s="18">
        <f t="shared" si="8"/>
        <v>29</v>
      </c>
      <c r="H619" s="22">
        <v>25</v>
      </c>
      <c r="I619" s="19">
        <v>27</v>
      </c>
    </row>
    <row r="620" ht="60" customHeight="1" spans="1:9">
      <c r="A620" s="21" t="s">
        <v>1208</v>
      </c>
      <c r="B620" s="41" t="s">
        <v>1209</v>
      </c>
      <c r="C620" s="16"/>
      <c r="D620" s="42" t="str">
        <f>_xlfn.DISPIMG("ID_EA3700D136FB4E5EBE48B8ABF9310CB5",1)</f>
        <v>=DISPIMG("ID_EA3700D136FB4E5EBE48B8ABF9310CB5",1)</v>
      </c>
      <c r="E620" s="18"/>
      <c r="F620" s="19"/>
      <c r="G620" s="18">
        <f t="shared" si="8"/>
        <v>41</v>
      </c>
      <c r="H620" s="22">
        <v>37</v>
      </c>
      <c r="I620" s="19">
        <v>39</v>
      </c>
    </row>
    <row r="621" ht="70" customHeight="1" spans="1:9">
      <c r="A621" s="1" t="s">
        <v>1210</v>
      </c>
      <c r="B621" s="78"/>
      <c r="C621" s="91"/>
      <c r="D621" s="78"/>
      <c r="E621" s="78"/>
      <c r="F621" s="78"/>
      <c r="G621" s="18"/>
      <c r="H621" s="78"/>
      <c r="I621" s="78"/>
    </row>
    <row r="622" ht="100.15" customHeight="1" spans="1:9">
      <c r="A622" s="21" t="s">
        <v>1211</v>
      </c>
      <c r="B622" s="41" t="s">
        <v>1212</v>
      </c>
      <c r="C622" s="25" t="s">
        <v>87</v>
      </c>
      <c r="D622" s="42" t="str">
        <f>_xlfn.DISPIMG("ID_4CB2128B5B9A4A5FA53CE4D650FB822B",1)</f>
        <v>=DISPIMG("ID_4CB2128B5B9A4A5FA53CE4D650FB822B",1)</v>
      </c>
      <c r="E622" s="18">
        <v>36</v>
      </c>
      <c r="F622" s="19">
        <v>35</v>
      </c>
      <c r="G622" s="18">
        <v>39.5</v>
      </c>
      <c r="H622" s="22">
        <v>36</v>
      </c>
      <c r="I622" s="19">
        <f>H622+2</f>
        <v>38</v>
      </c>
    </row>
    <row r="623" ht="100.15" customHeight="1" spans="1:9">
      <c r="A623" s="21" t="s">
        <v>1213</v>
      </c>
      <c r="B623" s="41" t="s">
        <v>1214</v>
      </c>
      <c r="C623" s="16" t="s">
        <v>87</v>
      </c>
      <c r="D623" s="42" t="str">
        <f>_xlfn.DISPIMG("ID_750D3856361A40E3B08946EFB1E3CAA1",1)</f>
        <v>=DISPIMG("ID_750D3856361A40E3B08946EFB1E3CAA1",1)</v>
      </c>
      <c r="E623" s="18"/>
      <c r="F623" s="19">
        <v>33</v>
      </c>
      <c r="G623" s="18">
        <v>40.5</v>
      </c>
      <c r="H623" s="22">
        <v>35</v>
      </c>
      <c r="I623" s="19">
        <f>H623+2</f>
        <v>37</v>
      </c>
    </row>
    <row r="624" ht="70" customHeight="1" spans="1:9">
      <c r="A624" s="1" t="s">
        <v>1215</v>
      </c>
      <c r="B624" s="78"/>
      <c r="C624" s="78"/>
      <c r="D624" s="78"/>
      <c r="E624" s="78"/>
      <c r="F624" s="78"/>
      <c r="G624" s="82"/>
      <c r="H624" s="78"/>
      <c r="I624" s="78"/>
    </row>
    <row r="625" ht="100.15" customHeight="1" spans="1:9">
      <c r="A625" s="21" t="s">
        <v>1216</v>
      </c>
      <c r="B625" s="41" t="s">
        <v>1217</v>
      </c>
      <c r="C625" s="16" t="s">
        <v>349</v>
      </c>
      <c r="D625" s="42" t="str">
        <f>_xlfn.DISPIMG("ID_4B5BCD2C981041069AC95BF6A4F4F1AB",1)</f>
        <v>=DISPIMG("ID_4B5BCD2C981041069AC95BF6A4F4F1AB",1)</v>
      </c>
      <c r="E625" s="18">
        <v>24</v>
      </c>
      <c r="F625" s="19">
        <v>28</v>
      </c>
      <c r="G625" s="18">
        <v>30</v>
      </c>
      <c r="H625" s="22">
        <v>29</v>
      </c>
      <c r="I625" s="19">
        <v>31</v>
      </c>
    </row>
    <row r="626" ht="100.15" customHeight="1" spans="1:9">
      <c r="A626" s="21" t="s">
        <v>1218</v>
      </c>
      <c r="B626" s="41" t="s">
        <v>1219</v>
      </c>
      <c r="C626" s="16" t="s">
        <v>349</v>
      </c>
      <c r="D626" s="92" t="str">
        <f>_xlfn.DISPIMG("ID_A8664F14ED014D48BEADCBA54E5D7F74",1)</f>
        <v>=DISPIMG("ID_A8664F14ED014D48BEADCBA54E5D7F74",1)</v>
      </c>
      <c r="E626" s="18">
        <v>24</v>
      </c>
      <c r="F626" s="19">
        <v>28</v>
      </c>
      <c r="G626" s="18">
        <v>30</v>
      </c>
      <c r="H626" s="22">
        <v>29</v>
      </c>
      <c r="I626" s="19">
        <v>31</v>
      </c>
    </row>
    <row r="627" ht="70" customHeight="1" spans="1:9">
      <c r="A627" s="1" t="s">
        <v>1220</v>
      </c>
      <c r="B627" s="78"/>
      <c r="C627" s="78"/>
      <c r="D627" s="78"/>
      <c r="E627" s="78"/>
      <c r="F627" s="78"/>
      <c r="G627" s="82"/>
      <c r="H627" s="78"/>
      <c r="I627" s="78"/>
    </row>
    <row r="628" ht="60" customHeight="1" spans="1:9">
      <c r="A628" s="21" t="s">
        <v>1221</v>
      </c>
      <c r="B628" s="41" t="s">
        <v>1222</v>
      </c>
      <c r="C628" s="16"/>
      <c r="D628" s="42" t="str">
        <f>_xlfn.DISPIMG("ID_4E4A6712D2024A06865001D38CA45040",1)</f>
        <v>=DISPIMG("ID_4E4A6712D2024A06865001D38CA45040",1)</v>
      </c>
      <c r="E628" s="18"/>
      <c r="F628" s="19"/>
      <c r="G628" s="18">
        <f>I628+2</f>
        <v>21</v>
      </c>
      <c r="H628" s="22">
        <v>17</v>
      </c>
      <c r="I628" s="19">
        <v>19</v>
      </c>
    </row>
    <row r="629" ht="60" customHeight="1" spans="1:9">
      <c r="A629" s="21" t="s">
        <v>1223</v>
      </c>
      <c r="B629" s="41" t="s">
        <v>1224</v>
      </c>
      <c r="C629" s="16"/>
      <c r="D629" s="42" t="str">
        <f>_xlfn.DISPIMG("ID_A292FFDDE11C48D69452B177BF1C818A",1)</f>
        <v>=DISPIMG("ID_A292FFDDE11C48D69452B177BF1C818A",1)</v>
      </c>
      <c r="E629" s="18"/>
      <c r="F629" s="19"/>
      <c r="G629" s="18">
        <f t="shared" ref="G629:G660" si="9">I629+2</f>
        <v>21</v>
      </c>
      <c r="H629" s="22">
        <v>17</v>
      </c>
      <c r="I629" s="19">
        <v>19</v>
      </c>
    </row>
    <row r="630" ht="60" customHeight="1" spans="1:9">
      <c r="A630" s="21" t="s">
        <v>1225</v>
      </c>
      <c r="B630" s="41" t="s">
        <v>1226</v>
      </c>
      <c r="C630" s="16"/>
      <c r="D630" s="42" t="str">
        <f>_xlfn.DISPIMG("ID_B777D71641AB45A08E128B0402E5462C",1)</f>
        <v>=DISPIMG("ID_B777D71641AB45A08E128B0402E5462C",1)</v>
      </c>
      <c r="E630" s="18"/>
      <c r="F630" s="19"/>
      <c r="G630" s="18">
        <f t="shared" si="9"/>
        <v>21</v>
      </c>
      <c r="H630" s="22">
        <v>17</v>
      </c>
      <c r="I630" s="19">
        <v>19</v>
      </c>
    </row>
    <row r="631" ht="60" customHeight="1" spans="1:9">
      <c r="A631" s="21" t="s">
        <v>1227</v>
      </c>
      <c r="B631" s="41" t="s">
        <v>1228</v>
      </c>
      <c r="C631" s="16"/>
      <c r="D631" s="42" t="str">
        <f>_xlfn.DISPIMG("ID_EEEC399E3463484A9F60319B400F4186",1)</f>
        <v>=DISPIMG("ID_EEEC399E3463484A9F60319B400F4186",1)</v>
      </c>
      <c r="E631" s="18"/>
      <c r="F631" s="19"/>
      <c r="G631" s="18">
        <f t="shared" si="9"/>
        <v>21</v>
      </c>
      <c r="H631" s="22">
        <v>17</v>
      </c>
      <c r="I631" s="19">
        <v>19</v>
      </c>
    </row>
    <row r="632" ht="60" customHeight="1" spans="1:9">
      <c r="A632" s="21" t="s">
        <v>1229</v>
      </c>
      <c r="B632" s="41" t="s">
        <v>1230</v>
      </c>
      <c r="C632" s="16"/>
      <c r="D632" s="42" t="str">
        <f>_xlfn.DISPIMG("ID_60D18B7F6BEE4C5484DC6A4AEA3B3BE0",1)</f>
        <v>=DISPIMG("ID_60D18B7F6BEE4C5484DC6A4AEA3B3BE0",1)</v>
      </c>
      <c r="E632" s="18"/>
      <c r="F632" s="19"/>
      <c r="G632" s="18">
        <f t="shared" si="9"/>
        <v>21</v>
      </c>
      <c r="H632" s="22">
        <v>17</v>
      </c>
      <c r="I632" s="19">
        <v>19</v>
      </c>
    </row>
    <row r="633" ht="60" customHeight="1" spans="1:9">
      <c r="A633" s="21" t="s">
        <v>1231</v>
      </c>
      <c r="B633" s="41" t="s">
        <v>1232</v>
      </c>
      <c r="C633" s="16"/>
      <c r="D633" s="42" t="str">
        <f>_xlfn.DISPIMG("ID_8E74FBFC20CC4CF691E7158F76103069",1)</f>
        <v>=DISPIMG("ID_8E74FBFC20CC4CF691E7158F76103069",1)</v>
      </c>
      <c r="E633" s="18"/>
      <c r="F633" s="19"/>
      <c r="G633" s="18">
        <f t="shared" si="9"/>
        <v>21</v>
      </c>
      <c r="H633" s="22">
        <v>17</v>
      </c>
      <c r="I633" s="19">
        <v>19</v>
      </c>
    </row>
    <row r="634" ht="60" customHeight="1" spans="1:9">
      <c r="A634" s="21" t="s">
        <v>1233</v>
      </c>
      <c r="B634" s="41" t="s">
        <v>1234</v>
      </c>
      <c r="C634" s="16"/>
      <c r="D634" s="42" t="str">
        <f>_xlfn.DISPIMG("ID_8E82FE170AD0421A9A1CA29FC7B73DE9",1)</f>
        <v>=DISPIMG("ID_8E82FE170AD0421A9A1CA29FC7B73DE9",1)</v>
      </c>
      <c r="E634" s="18"/>
      <c r="F634" s="19"/>
      <c r="G634" s="18">
        <f t="shared" si="9"/>
        <v>21</v>
      </c>
      <c r="H634" s="22">
        <v>17</v>
      </c>
      <c r="I634" s="19">
        <v>19</v>
      </c>
    </row>
    <row r="635" ht="60" customHeight="1" spans="1:9">
      <c r="A635" s="21" t="s">
        <v>1235</v>
      </c>
      <c r="B635" s="41" t="s">
        <v>1236</v>
      </c>
      <c r="C635" s="16"/>
      <c r="D635" s="42" t="str">
        <f>_xlfn.DISPIMG("ID_9D21CB0529B04C2BA2CEED71D58553F2",1)</f>
        <v>=DISPIMG("ID_9D21CB0529B04C2BA2CEED71D58553F2",1)</v>
      </c>
      <c r="E635" s="18"/>
      <c r="F635" s="19"/>
      <c r="G635" s="18">
        <f t="shared" si="9"/>
        <v>21</v>
      </c>
      <c r="H635" s="22">
        <v>17</v>
      </c>
      <c r="I635" s="19">
        <v>19</v>
      </c>
    </row>
    <row r="636" ht="60" customHeight="1" spans="1:9">
      <c r="A636" s="21" t="s">
        <v>1237</v>
      </c>
      <c r="B636" s="41" t="s">
        <v>1238</v>
      </c>
      <c r="C636" s="16"/>
      <c r="D636" s="42" t="str">
        <f>_xlfn.DISPIMG("ID_6AA9A9C534A440B5B78ABDB3DA757BC5",1)</f>
        <v>=DISPIMG("ID_6AA9A9C534A440B5B78ABDB3DA757BC5",1)</v>
      </c>
      <c r="E636" s="18"/>
      <c r="F636" s="19"/>
      <c r="G636" s="18">
        <f t="shared" si="9"/>
        <v>21</v>
      </c>
      <c r="H636" s="22">
        <v>17</v>
      </c>
      <c r="I636" s="19">
        <v>19</v>
      </c>
    </row>
    <row r="637" ht="60" customHeight="1" spans="1:9">
      <c r="A637" s="21" t="s">
        <v>1239</v>
      </c>
      <c r="B637" s="41" t="s">
        <v>1240</v>
      </c>
      <c r="C637" s="16"/>
      <c r="D637" s="42" t="str">
        <f>_xlfn.DISPIMG("ID_9C927725A48E4F21A55F337AE06A8D44",1)</f>
        <v>=DISPIMG("ID_9C927725A48E4F21A55F337AE06A8D44",1)</v>
      </c>
      <c r="E637" s="18"/>
      <c r="F637" s="19"/>
      <c r="G637" s="18">
        <f t="shared" si="9"/>
        <v>21</v>
      </c>
      <c r="H637" s="22">
        <v>17</v>
      </c>
      <c r="I637" s="19">
        <v>19</v>
      </c>
    </row>
    <row r="638" ht="60" customHeight="1" spans="1:9">
      <c r="A638" s="21" t="s">
        <v>1241</v>
      </c>
      <c r="B638" s="41" t="s">
        <v>1242</v>
      </c>
      <c r="C638" s="16"/>
      <c r="D638" s="42" t="str">
        <f>_xlfn.DISPIMG("ID_5A50AACDF5964386A718F363D6BCE91C",1)</f>
        <v>=DISPIMG("ID_5A50AACDF5964386A718F363D6BCE91C",1)</v>
      </c>
      <c r="E638" s="18"/>
      <c r="F638" s="19"/>
      <c r="G638" s="18">
        <f t="shared" si="9"/>
        <v>21</v>
      </c>
      <c r="H638" s="22">
        <v>17</v>
      </c>
      <c r="I638" s="19">
        <v>19</v>
      </c>
    </row>
    <row r="639" ht="60" customHeight="1" spans="1:9">
      <c r="A639" s="21" t="s">
        <v>1243</v>
      </c>
      <c r="B639" s="41" t="s">
        <v>1244</v>
      </c>
      <c r="C639" s="16"/>
      <c r="D639" s="42" t="str">
        <f>_xlfn.DISPIMG("ID_D0397C1B089A48A381A6CA2DFCE68AAA",1)</f>
        <v>=DISPIMG("ID_D0397C1B089A48A381A6CA2DFCE68AAA",1)</v>
      </c>
      <c r="E639" s="18"/>
      <c r="F639" s="19"/>
      <c r="G639" s="18">
        <f t="shared" si="9"/>
        <v>21</v>
      </c>
      <c r="H639" s="22">
        <v>17</v>
      </c>
      <c r="I639" s="19">
        <v>19</v>
      </c>
    </row>
    <row r="640" ht="70" customHeight="1" spans="1:9">
      <c r="A640" s="1" t="s">
        <v>1245</v>
      </c>
      <c r="B640" s="78"/>
      <c r="C640" s="78"/>
      <c r="D640" s="78"/>
      <c r="E640" s="78"/>
      <c r="F640" s="78"/>
      <c r="G640" s="18"/>
      <c r="H640" s="78"/>
      <c r="I640" s="78"/>
    </row>
    <row r="641" ht="60" customHeight="1" spans="1:9">
      <c r="A641" s="21" t="s">
        <v>1246</v>
      </c>
      <c r="B641" s="41" t="s">
        <v>1247</v>
      </c>
      <c r="C641" s="16"/>
      <c r="D641" s="42" t="str">
        <f>_xlfn.DISPIMG("ID_E05C23494F6A452D8DE3A1DDB7E5CA53",1)</f>
        <v>=DISPIMG("ID_E05C23494F6A452D8DE3A1DDB7E5CA53",1)</v>
      </c>
      <c r="E641" s="18"/>
      <c r="F641" s="19"/>
      <c r="G641" s="18">
        <f t="shared" si="9"/>
        <v>30</v>
      </c>
      <c r="H641" s="22">
        <v>26</v>
      </c>
      <c r="I641" s="19">
        <v>28</v>
      </c>
    </row>
    <row r="642" ht="60" customHeight="1" spans="1:9">
      <c r="A642" s="21" t="s">
        <v>1248</v>
      </c>
      <c r="B642" s="41" t="s">
        <v>1249</v>
      </c>
      <c r="C642" s="16"/>
      <c r="D642" s="42" t="str">
        <f>_xlfn.DISPIMG("ID_CDEF86F28B3F465C80DA9064B883A138",1)</f>
        <v>=DISPIMG("ID_CDEF86F28B3F465C80DA9064B883A138",1)</v>
      </c>
      <c r="E642" s="18"/>
      <c r="F642" s="19"/>
      <c r="G642" s="18">
        <f t="shared" si="9"/>
        <v>42</v>
      </c>
      <c r="H642" s="22">
        <v>38</v>
      </c>
      <c r="I642" s="19">
        <v>40</v>
      </c>
    </row>
    <row r="643" ht="70" customHeight="1" spans="1:9">
      <c r="A643" s="1" t="s">
        <v>1250</v>
      </c>
      <c r="B643" s="78"/>
      <c r="C643" s="78"/>
      <c r="D643" s="78"/>
      <c r="E643" s="78"/>
      <c r="F643" s="78"/>
      <c r="G643" s="18"/>
      <c r="H643" s="78"/>
      <c r="I643" s="78"/>
    </row>
    <row r="644" ht="70" customHeight="1" spans="1:9">
      <c r="A644" s="1" t="s">
        <v>1251</v>
      </c>
      <c r="B644" s="78"/>
      <c r="C644" s="78"/>
      <c r="D644" s="78"/>
      <c r="E644" s="78"/>
      <c r="F644" s="78"/>
      <c r="G644" s="18"/>
      <c r="H644" s="78"/>
      <c r="I644" s="78"/>
    </row>
    <row r="645" ht="60" customHeight="1" spans="1:9">
      <c r="A645" s="21" t="s">
        <v>1252</v>
      </c>
      <c r="B645" s="41" t="s">
        <v>1253</v>
      </c>
      <c r="C645" s="16"/>
      <c r="D645" s="42" t="str">
        <f>_xlfn.DISPIMG("ID_97226C3082554E00AE2637A2870B57BA",1)</f>
        <v>=DISPIMG("ID_97226C3082554E00AE2637A2870B57BA",1)</v>
      </c>
      <c r="E645" s="18"/>
      <c r="F645" s="19"/>
      <c r="G645" s="18">
        <f t="shared" si="9"/>
        <v>12</v>
      </c>
      <c r="H645" s="22">
        <v>8</v>
      </c>
      <c r="I645" s="19">
        <v>10</v>
      </c>
    </row>
    <row r="646" ht="70" customHeight="1" spans="1:9">
      <c r="A646" s="1" t="s">
        <v>1254</v>
      </c>
      <c r="B646" s="78"/>
      <c r="C646" s="78"/>
      <c r="D646" s="78"/>
      <c r="E646" s="78"/>
      <c r="F646" s="78"/>
      <c r="G646" s="18"/>
      <c r="H646" s="78"/>
      <c r="I646" s="78"/>
    </row>
    <row r="647" ht="60" customHeight="1" spans="1:9">
      <c r="A647" s="21" t="s">
        <v>1255</v>
      </c>
      <c r="B647" s="41" t="s">
        <v>1256</v>
      </c>
      <c r="C647" s="16"/>
      <c r="D647" s="42" t="str">
        <f>_xlfn.DISPIMG("ID_E43A23ABEE574A8B8F4548599C6B9512",1)</f>
        <v>=DISPIMG("ID_E43A23ABEE574A8B8F4548599C6B9512",1)</v>
      </c>
      <c r="E647" s="18"/>
      <c r="F647" s="19"/>
      <c r="G647" s="18">
        <f t="shared" si="9"/>
        <v>15</v>
      </c>
      <c r="H647" s="22">
        <v>11</v>
      </c>
      <c r="I647" s="19">
        <v>13</v>
      </c>
    </row>
    <row r="648" ht="70" customHeight="1" spans="1:9">
      <c r="A648" s="1" t="s">
        <v>1257</v>
      </c>
      <c r="B648" s="78"/>
      <c r="C648" s="78"/>
      <c r="D648" s="78"/>
      <c r="E648" s="78"/>
      <c r="F648" s="78"/>
      <c r="G648" s="18"/>
      <c r="H648" s="78"/>
      <c r="I648" s="78"/>
    </row>
    <row r="649" ht="60" customHeight="1" spans="1:9">
      <c r="A649" s="21" t="s">
        <v>1258</v>
      </c>
      <c r="B649" s="41" t="s">
        <v>1259</v>
      </c>
      <c r="C649" s="16"/>
      <c r="D649" s="42" t="str">
        <f>_xlfn.DISPIMG("ID_501681AF19134E899DBB061D2A9719B9",1)</f>
        <v>=DISPIMG("ID_501681AF19134E899DBB061D2A9719B9",1)</v>
      </c>
      <c r="E649" s="18"/>
      <c r="F649" s="19"/>
      <c r="G649" s="18">
        <f t="shared" si="9"/>
        <v>17</v>
      </c>
      <c r="H649" s="22">
        <v>13</v>
      </c>
      <c r="I649" s="19">
        <v>15</v>
      </c>
    </row>
    <row r="650" ht="70" customHeight="1" spans="1:9">
      <c r="A650" s="1" t="s">
        <v>1260</v>
      </c>
      <c r="B650" s="78"/>
      <c r="C650" s="78"/>
      <c r="D650" s="78"/>
      <c r="E650" s="78"/>
      <c r="F650" s="78"/>
      <c r="G650" s="18"/>
      <c r="H650" s="78"/>
      <c r="I650" s="78"/>
    </row>
    <row r="651" ht="60" customHeight="1" spans="1:9">
      <c r="A651" s="21" t="s">
        <v>1261</v>
      </c>
      <c r="B651" s="41" t="s">
        <v>1262</v>
      </c>
      <c r="C651" s="16"/>
      <c r="D651" s="42" t="str">
        <f t="shared" ref="D651:D669" si="10">_xlfn.DISPIMG("ID_10B87FE64D344F87A0D8F909CFEC69AB",1)</f>
        <v>=DISPIMG("ID_10B87FE64D344F87A0D8F909CFEC69AB",1)</v>
      </c>
      <c r="E651" s="18"/>
      <c r="F651" s="19"/>
      <c r="G651" s="18">
        <f t="shared" si="9"/>
        <v>20</v>
      </c>
      <c r="H651" s="22">
        <v>16</v>
      </c>
      <c r="I651" s="19">
        <v>18</v>
      </c>
    </row>
    <row r="652" ht="60" customHeight="1" spans="1:9">
      <c r="A652" s="21" t="s">
        <v>1263</v>
      </c>
      <c r="B652" s="41" t="s">
        <v>1264</v>
      </c>
      <c r="C652" s="16"/>
      <c r="D652" s="42" t="str">
        <f t="shared" si="10"/>
        <v>=DISPIMG("ID_10B87FE64D344F87A0D8F909CFEC69AB",1)</v>
      </c>
      <c r="E652" s="18"/>
      <c r="F652" s="19"/>
      <c r="G652" s="18">
        <f t="shared" si="9"/>
        <v>20</v>
      </c>
      <c r="H652" s="22">
        <v>16</v>
      </c>
      <c r="I652" s="19">
        <v>18</v>
      </c>
    </row>
    <row r="653" ht="60" customHeight="1" spans="1:9">
      <c r="A653" s="21" t="s">
        <v>1265</v>
      </c>
      <c r="B653" s="41" t="s">
        <v>1266</v>
      </c>
      <c r="C653" s="16"/>
      <c r="D653" s="42" t="str">
        <f t="shared" si="10"/>
        <v>=DISPIMG("ID_10B87FE64D344F87A0D8F909CFEC69AB",1)</v>
      </c>
      <c r="E653" s="18"/>
      <c r="F653" s="19"/>
      <c r="G653" s="18">
        <f t="shared" si="9"/>
        <v>20</v>
      </c>
      <c r="H653" s="22">
        <v>16</v>
      </c>
      <c r="I653" s="19">
        <v>18</v>
      </c>
    </row>
    <row r="654" ht="60" customHeight="1" spans="1:9">
      <c r="A654" s="21" t="s">
        <v>1267</v>
      </c>
      <c r="B654" s="41" t="s">
        <v>1268</v>
      </c>
      <c r="C654" s="16"/>
      <c r="D654" s="42" t="str">
        <f t="shared" si="10"/>
        <v>=DISPIMG("ID_10B87FE64D344F87A0D8F909CFEC69AB",1)</v>
      </c>
      <c r="E654" s="18"/>
      <c r="F654" s="19"/>
      <c r="G654" s="18">
        <f t="shared" si="9"/>
        <v>20</v>
      </c>
      <c r="H654" s="22">
        <v>16</v>
      </c>
      <c r="I654" s="19">
        <v>18</v>
      </c>
    </row>
    <row r="655" ht="60" customHeight="1" spans="1:9">
      <c r="A655" s="21" t="s">
        <v>1269</v>
      </c>
      <c r="B655" s="41" t="s">
        <v>1270</v>
      </c>
      <c r="C655" s="16"/>
      <c r="D655" s="42" t="str">
        <f t="shared" si="10"/>
        <v>=DISPIMG("ID_10B87FE64D344F87A0D8F909CFEC69AB",1)</v>
      </c>
      <c r="E655" s="18"/>
      <c r="F655" s="19"/>
      <c r="G655" s="18">
        <f t="shared" si="9"/>
        <v>20</v>
      </c>
      <c r="H655" s="22">
        <v>16</v>
      </c>
      <c r="I655" s="19">
        <v>18</v>
      </c>
    </row>
    <row r="656" ht="60" customHeight="1" spans="1:9">
      <c r="A656" s="21" t="s">
        <v>1271</v>
      </c>
      <c r="B656" s="41" t="s">
        <v>1272</v>
      </c>
      <c r="C656" s="16"/>
      <c r="D656" s="42" t="str">
        <f t="shared" si="10"/>
        <v>=DISPIMG("ID_10B87FE64D344F87A0D8F909CFEC69AB",1)</v>
      </c>
      <c r="E656" s="18"/>
      <c r="F656" s="19"/>
      <c r="G656" s="18">
        <f t="shared" si="9"/>
        <v>20</v>
      </c>
      <c r="H656" s="22">
        <v>16</v>
      </c>
      <c r="I656" s="19">
        <v>18</v>
      </c>
    </row>
    <row r="657" ht="60" customHeight="1" spans="1:9">
      <c r="A657" s="21" t="s">
        <v>1273</v>
      </c>
      <c r="B657" s="41" t="s">
        <v>1274</v>
      </c>
      <c r="C657" s="16"/>
      <c r="D657" s="42" t="str">
        <f t="shared" si="10"/>
        <v>=DISPIMG("ID_10B87FE64D344F87A0D8F909CFEC69AB",1)</v>
      </c>
      <c r="E657" s="18"/>
      <c r="F657" s="19"/>
      <c r="G657" s="18">
        <f t="shared" si="9"/>
        <v>20</v>
      </c>
      <c r="H657" s="22">
        <v>16</v>
      </c>
      <c r="I657" s="19">
        <v>18</v>
      </c>
    </row>
    <row r="658" ht="60" customHeight="1" spans="1:9">
      <c r="A658" s="21" t="s">
        <v>1275</v>
      </c>
      <c r="B658" s="41" t="s">
        <v>1276</v>
      </c>
      <c r="C658" s="16"/>
      <c r="D658" s="42" t="str">
        <f t="shared" si="10"/>
        <v>=DISPIMG("ID_10B87FE64D344F87A0D8F909CFEC69AB",1)</v>
      </c>
      <c r="E658" s="18"/>
      <c r="F658" s="19"/>
      <c r="G658" s="18">
        <f t="shared" si="9"/>
        <v>20</v>
      </c>
      <c r="H658" s="22">
        <v>16</v>
      </c>
      <c r="I658" s="19">
        <v>18</v>
      </c>
    </row>
    <row r="659" ht="60" customHeight="1" spans="1:9">
      <c r="A659" s="21" t="s">
        <v>1277</v>
      </c>
      <c r="B659" s="41" t="s">
        <v>1278</v>
      </c>
      <c r="C659" s="16"/>
      <c r="D659" s="42" t="str">
        <f t="shared" si="10"/>
        <v>=DISPIMG("ID_10B87FE64D344F87A0D8F909CFEC69AB",1)</v>
      </c>
      <c r="E659" s="18"/>
      <c r="F659" s="19"/>
      <c r="G659" s="18">
        <f t="shared" si="9"/>
        <v>20</v>
      </c>
      <c r="H659" s="22">
        <v>16</v>
      </c>
      <c r="I659" s="19">
        <v>18</v>
      </c>
    </row>
    <row r="660" ht="60" customHeight="1" spans="1:9">
      <c r="A660" s="21" t="s">
        <v>1279</v>
      </c>
      <c r="B660" s="41" t="s">
        <v>1280</v>
      </c>
      <c r="C660" s="16"/>
      <c r="D660" s="42" t="str">
        <f t="shared" si="10"/>
        <v>=DISPIMG("ID_10B87FE64D344F87A0D8F909CFEC69AB",1)</v>
      </c>
      <c r="E660" s="18"/>
      <c r="F660" s="19"/>
      <c r="G660" s="18">
        <f t="shared" si="9"/>
        <v>20</v>
      </c>
      <c r="H660" s="22">
        <v>16</v>
      </c>
      <c r="I660" s="19">
        <v>18</v>
      </c>
    </row>
    <row r="661" ht="60" customHeight="1" spans="1:9">
      <c r="A661" s="21" t="s">
        <v>1281</v>
      </c>
      <c r="B661" s="41" t="s">
        <v>1282</v>
      </c>
      <c r="C661" s="16"/>
      <c r="D661" s="42" t="str">
        <f t="shared" si="10"/>
        <v>=DISPIMG("ID_10B87FE64D344F87A0D8F909CFEC69AB",1)</v>
      </c>
      <c r="E661" s="18"/>
      <c r="F661" s="19"/>
      <c r="G661" s="18">
        <f t="shared" ref="G661:G692" si="11">I661+2</f>
        <v>20</v>
      </c>
      <c r="H661" s="22">
        <v>16</v>
      </c>
      <c r="I661" s="19">
        <v>18</v>
      </c>
    </row>
    <row r="662" ht="60" customHeight="1" spans="1:9">
      <c r="A662" s="21" t="s">
        <v>1283</v>
      </c>
      <c r="B662" s="41" t="s">
        <v>1284</v>
      </c>
      <c r="C662" s="16"/>
      <c r="D662" s="42" t="str">
        <f t="shared" si="10"/>
        <v>=DISPIMG("ID_10B87FE64D344F87A0D8F909CFEC69AB",1)</v>
      </c>
      <c r="E662" s="18"/>
      <c r="F662" s="19"/>
      <c r="G662" s="18">
        <f t="shared" si="11"/>
        <v>20</v>
      </c>
      <c r="H662" s="22">
        <v>16</v>
      </c>
      <c r="I662" s="19">
        <v>18</v>
      </c>
    </row>
    <row r="663" ht="60" customHeight="1" spans="1:9">
      <c r="A663" s="21" t="s">
        <v>1285</v>
      </c>
      <c r="B663" s="41" t="s">
        <v>1286</v>
      </c>
      <c r="C663" s="16"/>
      <c r="D663" s="42" t="str">
        <f t="shared" si="10"/>
        <v>=DISPIMG("ID_10B87FE64D344F87A0D8F909CFEC69AB",1)</v>
      </c>
      <c r="E663" s="18"/>
      <c r="F663" s="19"/>
      <c r="G663" s="18">
        <f t="shared" si="11"/>
        <v>20</v>
      </c>
      <c r="H663" s="22">
        <v>16</v>
      </c>
      <c r="I663" s="19">
        <v>18</v>
      </c>
    </row>
    <row r="664" ht="60" customHeight="1" spans="1:9">
      <c r="A664" s="21" t="s">
        <v>1287</v>
      </c>
      <c r="B664" s="41" t="s">
        <v>1288</v>
      </c>
      <c r="C664" s="16"/>
      <c r="D664" s="42" t="str">
        <f t="shared" si="10"/>
        <v>=DISPIMG("ID_10B87FE64D344F87A0D8F909CFEC69AB",1)</v>
      </c>
      <c r="E664" s="18"/>
      <c r="F664" s="19"/>
      <c r="G664" s="18">
        <f t="shared" si="11"/>
        <v>18</v>
      </c>
      <c r="H664" s="22">
        <v>14</v>
      </c>
      <c r="I664" s="19">
        <v>16</v>
      </c>
    </row>
    <row r="665" ht="60" customHeight="1" spans="1:9">
      <c r="A665" s="21" t="s">
        <v>1289</v>
      </c>
      <c r="B665" s="41" t="s">
        <v>1290</v>
      </c>
      <c r="C665" s="16"/>
      <c r="D665" s="42" t="str">
        <f t="shared" si="10"/>
        <v>=DISPIMG("ID_10B87FE64D344F87A0D8F909CFEC69AB",1)</v>
      </c>
      <c r="E665" s="18"/>
      <c r="F665" s="19"/>
      <c r="G665" s="18">
        <f t="shared" si="11"/>
        <v>18</v>
      </c>
      <c r="H665" s="22">
        <v>14</v>
      </c>
      <c r="I665" s="19">
        <v>16</v>
      </c>
    </row>
    <row r="666" ht="60" customHeight="1" spans="1:9">
      <c r="A666" s="21" t="s">
        <v>1291</v>
      </c>
      <c r="B666" s="41" t="s">
        <v>1292</v>
      </c>
      <c r="C666" s="16"/>
      <c r="D666" s="42" t="str">
        <f t="shared" si="10"/>
        <v>=DISPIMG("ID_10B87FE64D344F87A0D8F909CFEC69AB",1)</v>
      </c>
      <c r="E666" s="18"/>
      <c r="F666" s="19"/>
      <c r="G666" s="18">
        <f t="shared" si="11"/>
        <v>19</v>
      </c>
      <c r="H666" s="22">
        <v>15</v>
      </c>
      <c r="I666" s="19">
        <v>17</v>
      </c>
    </row>
    <row r="667" ht="60" customHeight="1" spans="1:9">
      <c r="A667" s="21" t="s">
        <v>1293</v>
      </c>
      <c r="B667" s="41" t="s">
        <v>1294</v>
      </c>
      <c r="C667" s="16"/>
      <c r="D667" s="42" t="str">
        <f t="shared" si="10"/>
        <v>=DISPIMG("ID_10B87FE64D344F87A0D8F909CFEC69AB",1)</v>
      </c>
      <c r="E667" s="18"/>
      <c r="F667" s="19"/>
      <c r="G667" s="18">
        <f t="shared" si="11"/>
        <v>18</v>
      </c>
      <c r="H667" s="22">
        <v>14</v>
      </c>
      <c r="I667" s="19">
        <v>16</v>
      </c>
    </row>
    <row r="668" ht="60" customHeight="1" spans="1:9">
      <c r="A668" s="21" t="s">
        <v>1293</v>
      </c>
      <c r="B668" s="41" t="s">
        <v>1295</v>
      </c>
      <c r="C668" s="16"/>
      <c r="D668" s="42" t="str">
        <f t="shared" si="10"/>
        <v>=DISPIMG("ID_10B87FE64D344F87A0D8F909CFEC69AB",1)</v>
      </c>
      <c r="E668" s="18"/>
      <c r="F668" s="19"/>
      <c r="G668" s="18">
        <f t="shared" si="11"/>
        <v>19</v>
      </c>
      <c r="H668" s="22">
        <v>15</v>
      </c>
      <c r="I668" s="19">
        <v>17</v>
      </c>
    </row>
    <row r="669" ht="60" customHeight="1" spans="1:9">
      <c r="A669" s="21" t="s">
        <v>1296</v>
      </c>
      <c r="B669" s="41" t="s">
        <v>1297</v>
      </c>
      <c r="C669" s="16"/>
      <c r="D669" s="42" t="str">
        <f t="shared" si="10"/>
        <v>=DISPIMG("ID_10B87FE64D344F87A0D8F909CFEC69AB",1)</v>
      </c>
      <c r="E669" s="18"/>
      <c r="F669" s="19"/>
      <c r="G669" s="18">
        <f t="shared" si="11"/>
        <v>18</v>
      </c>
      <c r="H669" s="22">
        <v>14</v>
      </c>
      <c r="I669" s="19">
        <v>16</v>
      </c>
    </row>
    <row r="670" ht="70" customHeight="1" spans="1:9">
      <c r="A670" s="1" t="s">
        <v>1298</v>
      </c>
      <c r="B670" s="78"/>
      <c r="C670" s="78"/>
      <c r="D670" s="78"/>
      <c r="E670" s="78"/>
      <c r="F670" s="78"/>
      <c r="G670" s="18"/>
      <c r="H670" s="78"/>
      <c r="I670" s="78"/>
    </row>
    <row r="671" ht="60" customHeight="1" spans="1:9">
      <c r="A671" s="21" t="s">
        <v>1299</v>
      </c>
      <c r="B671" s="41" t="s">
        <v>1300</v>
      </c>
      <c r="C671" s="16"/>
      <c r="D671" s="42" t="str">
        <f>_xlfn.DISPIMG("ID_3A8A2BBCD7934776B39525CC3EA495E8",1)</f>
        <v>=DISPIMG("ID_3A8A2BBCD7934776B39525CC3EA495E8",1)</v>
      </c>
      <c r="E671" s="18"/>
      <c r="F671" s="19"/>
      <c r="G671" s="18">
        <f t="shared" si="11"/>
        <v>53</v>
      </c>
      <c r="H671" s="22">
        <v>49</v>
      </c>
      <c r="I671" s="19">
        <v>51</v>
      </c>
    </row>
    <row r="672" ht="60" customHeight="1" spans="1:9">
      <c r="A672" s="21" t="s">
        <v>1301</v>
      </c>
      <c r="B672" s="41" t="s">
        <v>1302</v>
      </c>
      <c r="C672" s="16"/>
      <c r="D672" s="42" t="str">
        <f>_xlfn.DISPIMG("ID_5D27082B0DBC434F9AD19F936A0DDF43",1)</f>
        <v>=DISPIMG("ID_5D27082B0DBC434F9AD19F936A0DDF43",1)</v>
      </c>
      <c r="E672" s="18"/>
      <c r="F672" s="19"/>
      <c r="G672" s="18">
        <f t="shared" si="11"/>
        <v>39</v>
      </c>
      <c r="H672" s="22">
        <v>35</v>
      </c>
      <c r="I672" s="19">
        <v>37</v>
      </c>
    </row>
    <row r="673" ht="60" customHeight="1" spans="1:9">
      <c r="A673" s="21" t="s">
        <v>1303</v>
      </c>
      <c r="B673" s="41" t="s">
        <v>1304</v>
      </c>
      <c r="C673" s="16"/>
      <c r="D673" s="42" t="str">
        <f>_xlfn.DISPIMG("ID_5D1102F200DB44EF832DB76AB901F102",1)</f>
        <v>=DISPIMG("ID_5D1102F200DB44EF832DB76AB901F102",1)</v>
      </c>
      <c r="E673" s="18"/>
      <c r="F673" s="19"/>
      <c r="G673" s="18">
        <f t="shared" si="11"/>
        <v>48</v>
      </c>
      <c r="H673" s="22">
        <v>44</v>
      </c>
      <c r="I673" s="19">
        <v>46</v>
      </c>
    </row>
    <row r="674" ht="60" customHeight="1" spans="1:9">
      <c r="A674" s="21" t="s">
        <v>1305</v>
      </c>
      <c r="B674" s="41" t="s">
        <v>1306</v>
      </c>
      <c r="C674" s="16"/>
      <c r="D674" s="42" t="str">
        <f>_xlfn.DISPIMG("ID_D3B0E93B938842F88A3984AA407D242F",1)</f>
        <v>=DISPIMG("ID_D3B0E93B938842F88A3984AA407D242F",1)</v>
      </c>
      <c r="E674" s="18"/>
      <c r="F674" s="19"/>
      <c r="G674" s="18">
        <f t="shared" si="11"/>
        <v>65</v>
      </c>
      <c r="H674" s="22">
        <v>61</v>
      </c>
      <c r="I674" s="19">
        <v>63</v>
      </c>
    </row>
    <row r="675" ht="60" customHeight="1" spans="1:9">
      <c r="A675" s="21" t="s">
        <v>1307</v>
      </c>
      <c r="B675" s="41" t="s">
        <v>1308</v>
      </c>
      <c r="C675" s="16"/>
      <c r="D675" s="42" t="str">
        <f>_xlfn.DISPIMG("ID_3038FE0BBCC743D5ACDEE55282CCCAEF",1)</f>
        <v>=DISPIMG("ID_3038FE0BBCC743D5ACDEE55282CCCAEF",1)</v>
      </c>
      <c r="E675" s="18"/>
      <c r="F675" s="19"/>
      <c r="G675" s="18">
        <f t="shared" si="11"/>
        <v>65</v>
      </c>
      <c r="H675" s="22">
        <v>61</v>
      </c>
      <c r="I675" s="19">
        <v>63</v>
      </c>
    </row>
    <row r="676" ht="60" customHeight="1" spans="1:9">
      <c r="A676" s="21" t="s">
        <v>1309</v>
      </c>
      <c r="B676" s="41" t="s">
        <v>1310</v>
      </c>
      <c r="C676" s="16"/>
      <c r="D676" s="42" t="str">
        <f>_xlfn.DISPIMG("ID_A6AA5294B25547BCBDC8DB6A5910A5B9",1)</f>
        <v>=DISPIMG("ID_A6AA5294B25547BCBDC8DB6A5910A5B9",1)</v>
      </c>
      <c r="E676" s="18"/>
      <c r="F676" s="19"/>
      <c r="G676" s="18">
        <f t="shared" si="11"/>
        <v>65</v>
      </c>
      <c r="H676" s="22">
        <v>61</v>
      </c>
      <c r="I676" s="19">
        <v>63</v>
      </c>
    </row>
    <row r="677" ht="60" customHeight="1" spans="1:9">
      <c r="A677" s="21" t="s">
        <v>1311</v>
      </c>
      <c r="B677" s="41" t="s">
        <v>1312</v>
      </c>
      <c r="C677" s="16"/>
      <c r="D677" s="42" t="str">
        <f>_xlfn.DISPIMG("ID_CB215F2B38024661AF9B9E20CF9A4C1B",1)</f>
        <v>=DISPIMG("ID_CB215F2B38024661AF9B9E20CF9A4C1B",1)</v>
      </c>
      <c r="E677" s="18"/>
      <c r="F677" s="19"/>
      <c r="G677" s="18">
        <f t="shared" si="11"/>
        <v>35</v>
      </c>
      <c r="H677" s="22">
        <v>31</v>
      </c>
      <c r="I677" s="19">
        <v>33</v>
      </c>
    </row>
    <row r="678" ht="70" customHeight="1" spans="1:9">
      <c r="A678" s="1" t="s">
        <v>1313</v>
      </c>
      <c r="B678" s="78"/>
      <c r="C678" s="78"/>
      <c r="D678" s="78"/>
      <c r="E678" s="78"/>
      <c r="F678" s="78"/>
      <c r="G678" s="18"/>
      <c r="H678" s="78"/>
      <c r="I678" s="78"/>
    </row>
    <row r="679" ht="60" customHeight="1" spans="1:9">
      <c r="A679" s="21" t="s">
        <v>1314</v>
      </c>
      <c r="B679" s="41" t="s">
        <v>1315</v>
      </c>
      <c r="C679" s="16"/>
      <c r="D679" s="42" t="str">
        <f>_xlfn.DISPIMG("ID_1ACE4D89017F4A3994C445DA69542978",1)</f>
        <v>=DISPIMG("ID_1ACE4D89017F4A3994C445DA69542978",1)</v>
      </c>
      <c r="E679" s="18"/>
      <c r="F679" s="19"/>
      <c r="G679" s="18">
        <f t="shared" si="11"/>
        <v>67.71</v>
      </c>
      <c r="H679" s="22">
        <v>63.71</v>
      </c>
      <c r="I679" s="19">
        <v>65.71</v>
      </c>
    </row>
    <row r="680" ht="60" customHeight="1" spans="1:9">
      <c r="A680" s="21" t="s">
        <v>1316</v>
      </c>
      <c r="B680" s="41" t="s">
        <v>1317</v>
      </c>
      <c r="C680" s="16"/>
      <c r="D680" s="42" t="str">
        <f>_xlfn.DISPIMG("ID_86C3F84B66644FAF8A9767AD5ADF67AD",1)</f>
        <v>=DISPIMG("ID_86C3F84B66644FAF8A9767AD5ADF67AD",1)</v>
      </c>
      <c r="E680" s="18"/>
      <c r="F680" s="19"/>
      <c r="G680" s="18">
        <f t="shared" si="11"/>
        <v>29.81</v>
      </c>
      <c r="H680" s="22">
        <v>25.81</v>
      </c>
      <c r="I680" s="19">
        <v>27.81</v>
      </c>
    </row>
    <row r="681" ht="60" customHeight="1" spans="1:9">
      <c r="A681" s="21" t="s">
        <v>1318</v>
      </c>
      <c r="B681" s="41" t="s">
        <v>1319</v>
      </c>
      <c r="C681" s="16"/>
      <c r="D681" s="42" t="str">
        <f>_xlfn.DISPIMG("ID_997E8349F6AB4C5C8BBAB6468977702B",1)</f>
        <v>=DISPIMG("ID_997E8349F6AB4C5C8BBAB6468977702B",1)</v>
      </c>
      <c r="E681" s="18"/>
      <c r="F681" s="19"/>
      <c r="G681" s="18">
        <f t="shared" si="11"/>
        <v>37.26</v>
      </c>
      <c r="H681" s="22">
        <v>33.26</v>
      </c>
      <c r="I681" s="19">
        <v>35.26</v>
      </c>
    </row>
    <row r="682" ht="60" customHeight="1" spans="1:9">
      <c r="A682" s="21" t="s">
        <v>1320</v>
      </c>
      <c r="B682" s="41" t="s">
        <v>1321</v>
      </c>
      <c r="C682" s="16"/>
      <c r="D682" s="42" t="str">
        <f>_xlfn.DISPIMG("ID_54728DF2388B4F27A0517D05F3BA6A1C",1)</f>
        <v>=DISPIMG("ID_54728DF2388B4F27A0517D05F3BA6A1C",1)</v>
      </c>
      <c r="E682" s="18"/>
      <c r="F682" s="19"/>
      <c r="G682" s="18">
        <f t="shared" si="11"/>
        <v>69.06</v>
      </c>
      <c r="H682" s="22">
        <v>65.06</v>
      </c>
      <c r="I682" s="19">
        <v>67.06</v>
      </c>
    </row>
    <row r="683" ht="70" customHeight="1" spans="1:9">
      <c r="A683" s="1" t="s">
        <v>1322</v>
      </c>
      <c r="B683" s="78"/>
      <c r="C683" s="78"/>
      <c r="D683" s="78"/>
      <c r="E683" s="78"/>
      <c r="F683" s="78"/>
      <c r="G683" s="18"/>
      <c r="H683" s="78"/>
      <c r="I683" s="78"/>
    </row>
    <row r="684" ht="60" customHeight="1" spans="1:9">
      <c r="A684" s="21" t="s">
        <v>1323</v>
      </c>
      <c r="B684" s="41" t="s">
        <v>1324</v>
      </c>
      <c r="C684" s="16"/>
      <c r="D684" s="42" t="str">
        <f>_xlfn.DISPIMG("ID_764FFFDCE8974E2EAFD9B8A18F81356A",1)</f>
        <v>=DISPIMG("ID_764FFFDCE8974E2EAFD9B8A18F81356A",1)</v>
      </c>
      <c r="E684" s="18"/>
      <c r="F684" s="19"/>
      <c r="G684" s="18">
        <f t="shared" si="11"/>
        <v>50</v>
      </c>
      <c r="H684" s="22">
        <v>46</v>
      </c>
      <c r="I684" s="19">
        <v>48</v>
      </c>
    </row>
    <row r="685" ht="60" customHeight="1" spans="1:9">
      <c r="A685" s="21" t="s">
        <v>1325</v>
      </c>
      <c r="B685" s="41" t="s">
        <v>1326</v>
      </c>
      <c r="C685" s="16"/>
      <c r="D685" s="42" t="str">
        <f>_xlfn.DISPIMG("ID_9197B497A3784A6D8E851BB4C218E762",1)</f>
        <v>=DISPIMG("ID_9197B497A3784A6D8E851BB4C218E762",1)</v>
      </c>
      <c r="E685" s="18"/>
      <c r="F685" s="19"/>
      <c r="G685" s="18">
        <f t="shared" si="11"/>
        <v>50</v>
      </c>
      <c r="H685" s="22">
        <v>46</v>
      </c>
      <c r="I685" s="19">
        <v>48</v>
      </c>
    </row>
    <row r="686" ht="60" customHeight="1" spans="1:9">
      <c r="A686" s="21" t="s">
        <v>1327</v>
      </c>
      <c r="B686" s="41" t="s">
        <v>1328</v>
      </c>
      <c r="C686" s="16"/>
      <c r="D686" s="42" t="str">
        <f>_xlfn.DISPIMG("ID_FF0E563986514D859FBEEB496EA116CF",1)</f>
        <v>=DISPIMG("ID_FF0E563986514D859FBEEB496EA116CF",1)</v>
      </c>
      <c r="E686" s="18"/>
      <c r="F686" s="19"/>
      <c r="G686" s="18">
        <f t="shared" si="11"/>
        <v>41</v>
      </c>
      <c r="H686" s="22">
        <v>37</v>
      </c>
      <c r="I686" s="19">
        <v>39</v>
      </c>
    </row>
    <row r="687" ht="70" customHeight="1" spans="1:9">
      <c r="A687" s="1" t="s">
        <v>1329</v>
      </c>
      <c r="B687" s="78"/>
      <c r="C687" s="78"/>
      <c r="D687" s="78"/>
      <c r="E687" s="78"/>
      <c r="F687" s="78"/>
      <c r="G687" s="18"/>
      <c r="H687" s="78"/>
      <c r="I687" s="78"/>
    </row>
    <row r="688" ht="60" customHeight="1" spans="1:9">
      <c r="A688" s="21" t="s">
        <v>1330</v>
      </c>
      <c r="B688" s="41" t="s">
        <v>1331</v>
      </c>
      <c r="C688" s="16"/>
      <c r="D688" s="42" t="str">
        <f>_xlfn.DISPIMG("ID_C70B408877914720A78BEB5C98778DBE",1)</f>
        <v>=DISPIMG("ID_C70B408877914720A78BEB5C98778DBE",1)</v>
      </c>
      <c r="E688" s="18"/>
      <c r="F688" s="19"/>
      <c r="G688" s="18">
        <f t="shared" si="11"/>
        <v>51</v>
      </c>
      <c r="H688" s="22">
        <v>47</v>
      </c>
      <c r="I688" s="19">
        <v>49</v>
      </c>
    </row>
    <row r="689" ht="70" customHeight="1" spans="1:9">
      <c r="A689" s="1" t="s">
        <v>1332</v>
      </c>
      <c r="B689" s="78"/>
      <c r="C689" s="78"/>
      <c r="D689" s="78"/>
      <c r="E689" s="78"/>
      <c r="F689" s="78"/>
      <c r="G689" s="18"/>
      <c r="H689" s="78"/>
      <c r="I689" s="78"/>
    </row>
    <row r="690" ht="60" customHeight="1" spans="1:9">
      <c r="A690" s="21" t="s">
        <v>1333</v>
      </c>
      <c r="B690" s="41" t="s">
        <v>1334</v>
      </c>
      <c r="C690" s="16"/>
      <c r="D690" s="42" t="str">
        <f>_xlfn.DISPIMG("ID_8A9F76E5F3DF47C9BB1ACEB44BF6418C",1)</f>
        <v>=DISPIMG("ID_8A9F76E5F3DF47C9BB1ACEB44BF6418C",1)</v>
      </c>
      <c r="E690" s="18"/>
      <c r="F690" s="19"/>
      <c r="G690" s="18">
        <v>1.5</v>
      </c>
      <c r="H690" s="22">
        <v>1.5</v>
      </c>
      <c r="I690" s="19">
        <v>1.5</v>
      </c>
    </row>
    <row r="691" ht="60" customHeight="1" spans="1:9">
      <c r="A691" s="21" t="s">
        <v>1335</v>
      </c>
      <c r="B691" s="41" t="s">
        <v>1336</v>
      </c>
      <c r="C691" s="16"/>
      <c r="D691" s="42" t="str">
        <f>_xlfn.DISPIMG("ID_AEB0C5C761354C0E95CBE3524532C3B4",1)</f>
        <v>=DISPIMG("ID_AEB0C5C761354C0E95CBE3524532C3B4",1)</v>
      </c>
      <c r="E691" s="18"/>
      <c r="F691" s="19"/>
      <c r="G691" s="18">
        <v>1.5</v>
      </c>
      <c r="H691" s="22">
        <v>1.5</v>
      </c>
      <c r="I691" s="19">
        <v>1.5</v>
      </c>
    </row>
    <row r="692" ht="60" customHeight="1" spans="1:9">
      <c r="A692" s="21" t="s">
        <v>1337</v>
      </c>
      <c r="B692" s="41" t="s">
        <v>1338</v>
      </c>
      <c r="C692" s="16"/>
      <c r="D692" s="42" t="str">
        <f>_xlfn.DISPIMG("ID_C55490D6B29541D0A5F19F93D7E38B6C",1)</f>
        <v>=DISPIMG("ID_C55490D6B29541D0A5F19F93D7E38B6C",1)</v>
      </c>
      <c r="E692" s="18"/>
      <c r="F692" s="19"/>
      <c r="G692" s="18">
        <v>1.5</v>
      </c>
      <c r="H692" s="22">
        <v>1.5</v>
      </c>
      <c r="I692" s="19">
        <v>1.5</v>
      </c>
    </row>
    <row r="693" ht="60" customHeight="1" spans="1:9">
      <c r="A693" s="21" t="s">
        <v>1339</v>
      </c>
      <c r="B693" s="41" t="s">
        <v>1340</v>
      </c>
      <c r="C693" s="16"/>
      <c r="D693" s="42" t="str">
        <f>_xlfn.DISPIMG("ID_F128D980C95D413086C443B43F77E1C1",1)</f>
        <v>=DISPIMG("ID_F128D980C95D413086C443B43F77E1C1",1)</v>
      </c>
      <c r="E693" s="18"/>
      <c r="F693" s="19"/>
      <c r="G693" s="18">
        <v>1.5</v>
      </c>
      <c r="H693" s="22">
        <v>1.5</v>
      </c>
      <c r="I693" s="19">
        <v>1.5</v>
      </c>
    </row>
    <row r="694" ht="60" customHeight="1" spans="1:9">
      <c r="A694" s="21" t="s">
        <v>1341</v>
      </c>
      <c r="B694" s="41" t="s">
        <v>1342</v>
      </c>
      <c r="C694" s="16"/>
      <c r="D694" s="42" t="str">
        <f>_xlfn.DISPIMG("ID_4D35B904937040E6ACB8539426E032C9",1)</f>
        <v>=DISPIMG("ID_4D35B904937040E6ACB8539426E032C9",1)</v>
      </c>
      <c r="E694" s="18"/>
      <c r="F694" s="19"/>
      <c r="G694" s="18">
        <v>1.5</v>
      </c>
      <c r="H694" s="22">
        <v>1.5</v>
      </c>
      <c r="I694" s="19">
        <v>1.5</v>
      </c>
    </row>
    <row r="695" ht="60" customHeight="1" spans="1:9">
      <c r="A695" s="21" t="s">
        <v>1343</v>
      </c>
      <c r="B695" s="41" t="s">
        <v>1344</v>
      </c>
      <c r="C695" s="16"/>
      <c r="D695" s="42" t="str">
        <f>_xlfn.DISPIMG("ID_7E127DDDF43142529A6113ABE658B3C9",1)</f>
        <v>=DISPIMG("ID_7E127DDDF43142529A6113ABE658B3C9",1)</v>
      </c>
      <c r="E695" s="18"/>
      <c r="F695" s="19"/>
      <c r="G695" s="18">
        <v>1.5</v>
      </c>
      <c r="H695" s="22">
        <v>1.5</v>
      </c>
      <c r="I695" s="19">
        <v>1.5</v>
      </c>
    </row>
    <row r="696" ht="60" customHeight="1" spans="1:9">
      <c r="A696" s="21" t="s">
        <v>1345</v>
      </c>
      <c r="B696" s="41" t="s">
        <v>1346</v>
      </c>
      <c r="C696" s="16"/>
      <c r="D696" s="42" t="str">
        <f>_xlfn.DISPIMG("ID_C57F45AE779746329DAABABD40A2CCD1",1)</f>
        <v>=DISPIMG("ID_C57F45AE779746329DAABABD40A2CCD1",1)</v>
      </c>
      <c r="E696" s="18"/>
      <c r="F696" s="19"/>
      <c r="G696" s="18">
        <v>1.5</v>
      </c>
      <c r="H696" s="22">
        <v>1.5</v>
      </c>
      <c r="I696" s="19">
        <v>1.5</v>
      </c>
    </row>
    <row r="697" ht="60" customHeight="1" spans="1:9">
      <c r="A697" s="21" t="s">
        <v>1347</v>
      </c>
      <c r="B697" s="41" t="s">
        <v>1348</v>
      </c>
      <c r="C697" s="16"/>
      <c r="D697" s="42" t="str">
        <f>_xlfn.DISPIMG("ID_9413873DB6E14DADB34C28D09A22D3FE",1)</f>
        <v>=DISPIMG("ID_9413873DB6E14DADB34C28D09A22D3FE",1)</v>
      </c>
      <c r="E697" s="18"/>
      <c r="F697" s="19"/>
      <c r="G697" s="18">
        <v>1.5</v>
      </c>
      <c r="H697" s="22">
        <v>1.5</v>
      </c>
      <c r="I697" s="19">
        <v>1.5</v>
      </c>
    </row>
    <row r="698" ht="60" customHeight="1" spans="1:9">
      <c r="A698" s="21" t="s">
        <v>1349</v>
      </c>
      <c r="B698" s="41" t="s">
        <v>1350</v>
      </c>
      <c r="C698" s="16"/>
      <c r="D698" s="42" t="str">
        <f>_xlfn.DISPIMG("ID_469ECFE1CCAA4329ACD7AD293B1A3272",1)</f>
        <v>=DISPIMG("ID_469ECFE1CCAA4329ACD7AD293B1A3272",1)</v>
      </c>
      <c r="E698" s="18"/>
      <c r="F698" s="19"/>
      <c r="G698" s="18">
        <v>1.5</v>
      </c>
      <c r="H698" s="22">
        <v>1.5</v>
      </c>
      <c r="I698" s="19">
        <v>1.5</v>
      </c>
    </row>
    <row r="699" ht="60" customHeight="1" spans="1:9">
      <c r="A699" s="21" t="s">
        <v>1351</v>
      </c>
      <c r="B699" s="41" t="s">
        <v>1352</v>
      </c>
      <c r="C699" s="16"/>
      <c r="D699" s="42" t="str">
        <f>_xlfn.DISPIMG("ID_13AE41B0A1284F38AC41C683D3D94FB1",1)</f>
        <v>=DISPIMG("ID_13AE41B0A1284F38AC41C683D3D94FB1",1)</v>
      </c>
      <c r="E699" s="18"/>
      <c r="F699" s="19"/>
      <c r="G699" s="18">
        <v>1.5</v>
      </c>
      <c r="H699" s="22">
        <v>1.5</v>
      </c>
      <c r="I699" s="19">
        <v>1.5</v>
      </c>
    </row>
    <row r="700" ht="60" customHeight="1" spans="1:9">
      <c r="A700" s="21" t="s">
        <v>1353</v>
      </c>
      <c r="B700" s="41" t="s">
        <v>1354</v>
      </c>
      <c r="C700" s="16"/>
      <c r="D700" s="42" t="str">
        <f>_xlfn.DISPIMG("ID_4E7D66F8DD9A400E95EE71603D6C8952",1)</f>
        <v>=DISPIMG("ID_4E7D66F8DD9A400E95EE71603D6C8952",1)</v>
      </c>
      <c r="E700" s="18"/>
      <c r="F700" s="19"/>
      <c r="G700" s="18">
        <v>1.5</v>
      </c>
      <c r="H700" s="22">
        <v>1.5</v>
      </c>
      <c r="I700" s="19">
        <v>1.5</v>
      </c>
    </row>
    <row r="701" ht="60" customHeight="1" spans="1:9">
      <c r="A701" s="21" t="s">
        <v>1355</v>
      </c>
      <c r="B701" s="41" t="s">
        <v>1356</v>
      </c>
      <c r="C701" s="16"/>
      <c r="D701" s="42" t="str">
        <f>_xlfn.DISPIMG("ID_CA775BC4C8664BF4B10353628FA75198",1)</f>
        <v>=DISPIMG("ID_CA775BC4C8664BF4B10353628FA75198",1)</v>
      </c>
      <c r="E701" s="18"/>
      <c r="F701" s="19"/>
      <c r="G701" s="18">
        <v>1.5</v>
      </c>
      <c r="H701" s="22">
        <v>1.5</v>
      </c>
      <c r="I701" s="19">
        <v>1.5</v>
      </c>
    </row>
    <row r="702" ht="60" customHeight="1" spans="1:9">
      <c r="A702" s="21" t="s">
        <v>1357</v>
      </c>
      <c r="B702" s="41" t="s">
        <v>1358</v>
      </c>
      <c r="C702" s="16"/>
      <c r="D702" s="42" t="str">
        <f>_xlfn.DISPIMG("ID_ED22533604F0411AB71F1658E6645976",1)</f>
        <v>=DISPIMG("ID_ED22533604F0411AB71F1658E6645976",1)</v>
      </c>
      <c r="E702" s="18"/>
      <c r="F702" s="19"/>
      <c r="G702" s="18">
        <v>1.5</v>
      </c>
      <c r="H702" s="22">
        <v>1.5</v>
      </c>
      <c r="I702" s="19">
        <v>1.5</v>
      </c>
    </row>
    <row r="703" ht="60" customHeight="1" spans="1:9">
      <c r="A703" s="21" t="s">
        <v>1359</v>
      </c>
      <c r="B703" s="41" t="s">
        <v>1360</v>
      </c>
      <c r="C703" s="16"/>
      <c r="D703" s="42" t="str">
        <f>_xlfn.DISPIMG("ID_BDE575D2AB344F09A723DB4D9AB2923B",1)</f>
        <v>=DISPIMG("ID_BDE575D2AB344F09A723DB4D9AB2923B",1)</v>
      </c>
      <c r="E703" s="18"/>
      <c r="F703" s="19"/>
      <c r="G703" s="18">
        <v>1.5</v>
      </c>
      <c r="H703" s="22">
        <v>1.5</v>
      </c>
      <c r="I703" s="19">
        <v>1.5</v>
      </c>
    </row>
    <row r="704" ht="60" customHeight="1" spans="1:9">
      <c r="A704" s="21" t="s">
        <v>1361</v>
      </c>
      <c r="B704" s="41" t="s">
        <v>1362</v>
      </c>
      <c r="C704" s="16"/>
      <c r="D704" s="42" t="str">
        <f>_xlfn.DISPIMG("ID_E47E933D4C27417EAAFF86EEE1BC2FB8",1)</f>
        <v>=DISPIMG("ID_E47E933D4C27417EAAFF86EEE1BC2FB8",1)</v>
      </c>
      <c r="E704" s="18"/>
      <c r="F704" s="19"/>
      <c r="G704" s="18">
        <v>1.5</v>
      </c>
      <c r="H704" s="22">
        <v>1.5</v>
      </c>
      <c r="I704" s="19">
        <v>1.5</v>
      </c>
    </row>
    <row r="705" ht="60" customHeight="1" spans="1:9">
      <c r="A705" s="21" t="s">
        <v>1363</v>
      </c>
      <c r="B705" s="41" t="s">
        <v>1364</v>
      </c>
      <c r="C705" s="16"/>
      <c r="D705" s="42" t="str">
        <f>_xlfn.DISPIMG("ID_7F091FB162C245EB9DD26B90235645F8",1)</f>
        <v>=DISPIMG("ID_7F091FB162C245EB9DD26B90235645F8",1)</v>
      </c>
      <c r="E705" s="18"/>
      <c r="F705" s="19"/>
      <c r="G705" s="18">
        <v>1.5</v>
      </c>
      <c r="H705" s="22">
        <v>1.5</v>
      </c>
      <c r="I705" s="19">
        <v>1.5</v>
      </c>
    </row>
    <row r="706" ht="70" customHeight="1" spans="1:9">
      <c r="A706" s="1" t="s">
        <v>1365</v>
      </c>
      <c r="B706" s="78"/>
      <c r="C706" s="78"/>
      <c r="D706" s="78"/>
      <c r="E706" s="78"/>
      <c r="F706" s="78"/>
      <c r="G706" s="18"/>
      <c r="H706" s="78"/>
      <c r="I706" s="78"/>
    </row>
    <row r="707" ht="60" customHeight="1" spans="1:9">
      <c r="A707" s="21" t="s">
        <v>1366</v>
      </c>
      <c r="B707" s="41" t="s">
        <v>1367</v>
      </c>
      <c r="C707" s="16"/>
      <c r="D707" s="42" t="str">
        <f>_xlfn.DISPIMG("ID_2D42709767B240ADB06FC1254F4E063E",1)</f>
        <v>=DISPIMG("ID_2D42709767B240ADB06FC1254F4E063E",1)</v>
      </c>
      <c r="E707" s="18"/>
      <c r="F707" s="19"/>
      <c r="G707" s="18">
        <f>I707+2</f>
        <v>45</v>
      </c>
      <c r="H707" s="22">
        <v>41</v>
      </c>
      <c r="I707" s="19">
        <v>43</v>
      </c>
    </row>
    <row r="708" ht="60" customHeight="1" spans="1:9">
      <c r="A708" s="21" t="s">
        <v>1368</v>
      </c>
      <c r="B708" s="41" t="s">
        <v>1369</v>
      </c>
      <c r="C708" s="16"/>
      <c r="D708" s="42" t="str">
        <f>_xlfn.DISPIMG("ID_D5F65E992C894560933E41AD83412DD7",1)</f>
        <v>=DISPIMG("ID_D5F65E992C894560933E41AD83412DD7",1)</v>
      </c>
      <c r="E708" s="18"/>
      <c r="F708" s="19"/>
      <c r="G708" s="18">
        <f>I708+2</f>
        <v>45</v>
      </c>
      <c r="H708" s="22">
        <v>41</v>
      </c>
      <c r="I708" s="19">
        <v>43</v>
      </c>
    </row>
    <row r="709" ht="70" customHeight="1" spans="1:9">
      <c r="A709" s="1" t="s">
        <v>1370</v>
      </c>
      <c r="B709" s="78"/>
      <c r="C709" s="78"/>
      <c r="D709" s="78"/>
      <c r="E709" s="78"/>
      <c r="F709" s="78"/>
      <c r="G709" s="18"/>
      <c r="H709" s="78"/>
      <c r="I709" s="78"/>
    </row>
    <row r="710" ht="60" customHeight="1" spans="1:9">
      <c r="A710" s="21" t="s">
        <v>1371</v>
      </c>
      <c r="B710" s="41" t="s">
        <v>1372</v>
      </c>
      <c r="C710" s="16"/>
      <c r="D710" s="42" t="str">
        <f>_xlfn.DISPIMG("ID_8E10F40397E8499CBF32871BE1715C80",1)</f>
        <v>=DISPIMG("ID_8E10F40397E8499CBF32871BE1715C80",1)</v>
      </c>
      <c r="E710" s="18"/>
      <c r="F710" s="19"/>
      <c r="G710" s="18">
        <f>I710+2</f>
        <v>35</v>
      </c>
      <c r="H710" s="22">
        <v>31</v>
      </c>
      <c r="I710" s="19">
        <v>33</v>
      </c>
    </row>
    <row r="711" ht="60" customHeight="1" spans="1:9">
      <c r="A711" s="21" t="s">
        <v>1373</v>
      </c>
      <c r="B711" s="41" t="s">
        <v>1374</v>
      </c>
      <c r="C711" s="16"/>
      <c r="D711" s="42" t="str">
        <f>_xlfn.DISPIMG("ID_EE92BB14202F4FE38E28A0E8A3211548",1)</f>
        <v>=DISPIMG("ID_EE92BB14202F4FE38E28A0E8A3211548",1)</v>
      </c>
      <c r="E711" s="18"/>
      <c r="F711" s="19"/>
      <c r="G711" s="18">
        <f>I711+2</f>
        <v>31</v>
      </c>
      <c r="H711" s="22">
        <v>27</v>
      </c>
      <c r="I711" s="19">
        <v>29</v>
      </c>
    </row>
    <row r="712" ht="60" customHeight="1" spans="1:9">
      <c r="A712" s="21" t="s">
        <v>1375</v>
      </c>
      <c r="B712" s="41" t="s">
        <v>1376</v>
      </c>
      <c r="C712" s="16"/>
      <c r="D712" s="42" t="str">
        <f>_xlfn.DISPIMG("ID_EDCE6B7C4C884DCBA2D5EF11D4D7DC6F",1)</f>
        <v>=DISPIMG("ID_EDCE6B7C4C884DCBA2D5EF11D4D7DC6F",1)</v>
      </c>
      <c r="E712" s="18"/>
      <c r="F712" s="19"/>
      <c r="G712" s="18">
        <f>I712+2</f>
        <v>35</v>
      </c>
      <c r="H712" s="22">
        <v>31</v>
      </c>
      <c r="I712" s="19">
        <v>33</v>
      </c>
    </row>
    <row r="713" ht="60" customHeight="1" spans="1:9">
      <c r="A713" s="21" t="s">
        <v>1377</v>
      </c>
      <c r="B713" s="41" t="s">
        <v>1378</v>
      </c>
      <c r="C713" s="16"/>
      <c r="D713" s="42" t="str">
        <f>_xlfn.DISPIMG("ID_25B4C75F3EE24CDC8F985D24F6D5C905",1)</f>
        <v>=DISPIMG("ID_25B4C75F3EE24CDC8F985D24F6D5C905",1)</v>
      </c>
      <c r="E713" s="18"/>
      <c r="F713" s="19"/>
      <c r="G713" s="18">
        <f>I713+2</f>
        <v>37</v>
      </c>
      <c r="H713" s="22">
        <v>33</v>
      </c>
      <c r="I713" s="19">
        <v>35</v>
      </c>
    </row>
    <row r="714" ht="60" customHeight="1" spans="1:9">
      <c r="A714" s="21" t="s">
        <v>1379</v>
      </c>
      <c r="B714" s="41" t="s">
        <v>1380</v>
      </c>
      <c r="C714" s="16"/>
      <c r="D714" s="42" t="str">
        <f>_xlfn.DISPIMG("ID_521CEA7196824D559AE390BA0ED41E60",1)</f>
        <v>=DISPIMG("ID_521CEA7196824D559AE390BA0ED41E60",1)</v>
      </c>
      <c r="E714" s="18"/>
      <c r="F714" s="19"/>
      <c r="G714" s="18">
        <f>I714+2</f>
        <v>37</v>
      </c>
      <c r="H714" s="22">
        <v>33</v>
      </c>
      <c r="I714" s="19">
        <v>35</v>
      </c>
    </row>
    <row r="715" ht="70" customHeight="1" spans="1:9">
      <c r="A715" s="1" t="s">
        <v>1381</v>
      </c>
      <c r="B715" s="78"/>
      <c r="C715" s="78"/>
      <c r="D715" s="78"/>
      <c r="E715" s="78"/>
      <c r="F715" s="78"/>
      <c r="G715" s="18"/>
      <c r="H715" s="78"/>
      <c r="I715" s="78"/>
    </row>
    <row r="716" ht="60" customHeight="1" spans="1:9">
      <c r="A716" s="21" t="s">
        <v>1382</v>
      </c>
      <c r="B716" s="41" t="s">
        <v>1383</v>
      </c>
      <c r="C716" s="16"/>
      <c r="D716" s="42" t="str">
        <f>_xlfn.DISPIMG("ID_59A1F14811324BF3AF81158D21D8408C",1)</f>
        <v>=DISPIMG("ID_59A1F14811324BF3AF81158D21D8408C",1)</v>
      </c>
      <c r="E716" s="18"/>
      <c r="F716" s="19"/>
      <c r="G716" s="18">
        <f>I716+2</f>
        <v>26</v>
      </c>
      <c r="H716" s="22">
        <v>22</v>
      </c>
      <c r="I716" s="19">
        <v>24</v>
      </c>
    </row>
    <row r="717" ht="60" customHeight="1" spans="1:9">
      <c r="A717" s="21" t="s">
        <v>1384</v>
      </c>
      <c r="B717" s="41" t="s">
        <v>1385</v>
      </c>
      <c r="C717" s="16"/>
      <c r="D717" s="42" t="str">
        <f>_xlfn.DISPIMG("ID_56E174626580412AAD98E8460E55A959",1)</f>
        <v>=DISPIMG("ID_56E174626580412AAD98E8460E55A959",1)</v>
      </c>
      <c r="E717" s="18"/>
      <c r="F717" s="19"/>
      <c r="G717" s="18">
        <f>I717+2</f>
        <v>26</v>
      </c>
      <c r="H717" s="22">
        <v>22</v>
      </c>
      <c r="I717" s="19">
        <v>24</v>
      </c>
    </row>
    <row r="718" ht="60" customHeight="1" spans="1:9">
      <c r="A718" s="21" t="s">
        <v>1386</v>
      </c>
      <c r="B718" s="41" t="s">
        <v>1387</v>
      </c>
      <c r="C718" s="16"/>
      <c r="D718" s="42" t="str">
        <f>_xlfn.DISPIMG("ID_4A2B5725B3094705A03E7540C61F6DD9",1)</f>
        <v>=DISPIMG("ID_4A2B5725B3094705A03E7540C61F6DD9",1)</v>
      </c>
      <c r="E718" s="18"/>
      <c r="F718" s="19"/>
      <c r="G718" s="18">
        <f>I718+2</f>
        <v>26</v>
      </c>
      <c r="H718" s="22">
        <v>22</v>
      </c>
      <c r="I718" s="19">
        <v>24</v>
      </c>
    </row>
    <row r="719" ht="70" customHeight="1" spans="1:9">
      <c r="A719" s="1" t="s">
        <v>1388</v>
      </c>
      <c r="B719" s="78"/>
      <c r="C719" s="78"/>
      <c r="D719" s="78"/>
      <c r="E719" s="78"/>
      <c r="F719" s="78"/>
      <c r="G719" s="18"/>
      <c r="H719" s="78"/>
      <c r="I719" s="78"/>
    </row>
    <row r="720" ht="60" customHeight="1" spans="1:9">
      <c r="A720" s="21" t="s">
        <v>1389</v>
      </c>
      <c r="B720" s="41" t="s">
        <v>1390</v>
      </c>
      <c r="C720" s="16"/>
      <c r="D720" s="42" t="str">
        <f>_xlfn.DISPIMG("ID_9E313E2A3B8E4535A99536F9EF45F69B",1)</f>
        <v>=DISPIMG("ID_9E313E2A3B8E4535A99536F9EF45F69B",1)</v>
      </c>
      <c r="E720" s="18"/>
      <c r="F720" s="19"/>
      <c r="G720" s="18">
        <f>I720+2</f>
        <v>43</v>
      </c>
      <c r="H720" s="22">
        <v>39</v>
      </c>
      <c r="I720" s="19">
        <v>41</v>
      </c>
    </row>
    <row r="721" ht="60" customHeight="1" spans="1:9">
      <c r="A721" s="21" t="s">
        <v>1391</v>
      </c>
      <c r="B721" s="41" t="s">
        <v>1392</v>
      </c>
      <c r="C721" s="16"/>
      <c r="D721" s="42" t="str">
        <f>_xlfn.DISPIMG("ID_51543D85C55B47B1A57F80B7863B23CB",1)</f>
        <v>=DISPIMG("ID_51543D85C55B47B1A57F80B7863B23CB",1)</v>
      </c>
      <c r="E721" s="18"/>
      <c r="F721" s="19"/>
      <c r="G721" s="18">
        <f>I721+2</f>
        <v>40</v>
      </c>
      <c r="H721" s="22">
        <v>36</v>
      </c>
      <c r="I721" s="19">
        <v>38</v>
      </c>
    </row>
    <row r="722" ht="60" customHeight="1" spans="1:9">
      <c r="A722" s="21" t="s">
        <v>1393</v>
      </c>
      <c r="B722" s="41" t="s">
        <v>1394</v>
      </c>
      <c r="C722" s="16"/>
      <c r="D722" s="42" t="str">
        <f>_xlfn.DISPIMG("ID_518C3E1E6AF342288EE51F62F13CC82A",1)</f>
        <v>=DISPIMG("ID_518C3E1E6AF342288EE51F62F13CC82A",1)</v>
      </c>
      <c r="E722" s="18"/>
      <c r="F722" s="19"/>
      <c r="G722" s="18">
        <f>I722+2</f>
        <v>12</v>
      </c>
      <c r="H722" s="22">
        <v>8</v>
      </c>
      <c r="I722" s="19">
        <v>10</v>
      </c>
    </row>
    <row r="723" ht="60" customHeight="1" spans="1:9">
      <c r="A723" s="21" t="s">
        <v>1395</v>
      </c>
      <c r="B723" s="41" t="s">
        <v>1396</v>
      </c>
      <c r="C723" s="16"/>
      <c r="D723" s="42" t="str">
        <f>_xlfn.DISPIMG("ID_40ACCCA08D874F80985EAF902796156D",1)</f>
        <v>=DISPIMG("ID_40ACCCA08D874F80985EAF902796156D",1)</v>
      </c>
      <c r="E723" s="18"/>
      <c r="F723" s="19"/>
      <c r="G723" s="18">
        <f>I723+2</f>
        <v>31</v>
      </c>
      <c r="H723" s="22">
        <v>27</v>
      </c>
      <c r="I723" s="19">
        <v>29</v>
      </c>
    </row>
    <row r="724" ht="60" customHeight="1" spans="1:9">
      <c r="A724" s="21" t="s">
        <v>1397</v>
      </c>
      <c r="B724" s="41" t="s">
        <v>1398</v>
      </c>
      <c r="C724" s="16"/>
      <c r="D724" s="42" t="str">
        <f>_xlfn.DISPIMG("ID_16E8540172EC4882BF6297EBF8610FF3",1)</f>
        <v>=DISPIMG("ID_16E8540172EC4882BF6297EBF8610FF3",1)</v>
      </c>
      <c r="E724" s="18"/>
      <c r="F724" s="19"/>
      <c r="G724" s="18">
        <f>I724+2</f>
        <v>12</v>
      </c>
      <c r="H724" s="22">
        <v>8</v>
      </c>
      <c r="I724" s="19">
        <v>10</v>
      </c>
    </row>
    <row r="725" ht="60" customHeight="1" spans="1:9">
      <c r="A725" s="21" t="s">
        <v>1399</v>
      </c>
      <c r="B725" s="41" t="s">
        <v>1400</v>
      </c>
      <c r="C725" s="16"/>
      <c r="D725" s="42" t="str">
        <f>_xlfn.DISPIMG("ID_C310E4F59ED647829AFEA6ADE67FD386",1)</f>
        <v>=DISPIMG("ID_C310E4F59ED647829AFEA6ADE67FD386",1)</v>
      </c>
      <c r="E725" s="18"/>
      <c r="F725" s="19"/>
      <c r="G725" s="18">
        <f t="shared" ref="G725:G756" si="12">I725+2</f>
        <v>42</v>
      </c>
      <c r="H725" s="22">
        <v>38</v>
      </c>
      <c r="I725" s="19">
        <v>40</v>
      </c>
    </row>
    <row r="726" ht="70" customHeight="1" spans="1:9">
      <c r="A726" s="1" t="s">
        <v>1401</v>
      </c>
      <c r="B726" s="78"/>
      <c r="C726" s="78"/>
      <c r="D726" s="78"/>
      <c r="E726" s="78"/>
      <c r="F726" s="78"/>
      <c r="G726" s="18"/>
      <c r="H726" s="78"/>
      <c r="I726" s="78"/>
    </row>
    <row r="727" ht="60" customHeight="1" spans="1:9">
      <c r="A727" s="21" t="s">
        <v>1402</v>
      </c>
      <c r="B727" s="41" t="s">
        <v>1403</v>
      </c>
      <c r="C727" s="16"/>
      <c r="D727" s="42" t="str">
        <f>_xlfn.DISPIMG("ID_3D35E7407C0241A79EFC4367D193FB20",1)</f>
        <v>=DISPIMG("ID_3D35E7407C0241A79EFC4367D193FB20",1)</v>
      </c>
      <c r="E727" s="18"/>
      <c r="F727" s="19"/>
      <c r="G727" s="18">
        <f t="shared" si="12"/>
        <v>27</v>
      </c>
      <c r="H727" s="22">
        <v>23</v>
      </c>
      <c r="I727" s="19">
        <v>25</v>
      </c>
    </row>
    <row r="728" ht="60" customHeight="1" spans="1:9">
      <c r="A728" s="21" t="s">
        <v>1404</v>
      </c>
      <c r="B728" s="41" t="s">
        <v>1405</v>
      </c>
      <c r="C728" s="16"/>
      <c r="D728" s="42" t="str">
        <f>_xlfn.DISPIMG("ID_0D2DAD0F661B47D981B01C425371D85F",1)</f>
        <v>=DISPIMG("ID_0D2DAD0F661B47D981B01C425371D85F",1)</v>
      </c>
      <c r="E728" s="18"/>
      <c r="F728" s="19"/>
      <c r="G728" s="18">
        <f t="shared" si="12"/>
        <v>38</v>
      </c>
      <c r="H728" s="22">
        <v>34</v>
      </c>
      <c r="I728" s="19">
        <v>36</v>
      </c>
    </row>
    <row r="729" ht="60" customHeight="1" spans="1:9">
      <c r="A729" s="21" t="s">
        <v>1406</v>
      </c>
      <c r="B729" s="41" t="s">
        <v>1407</v>
      </c>
      <c r="C729" s="16"/>
      <c r="D729" s="42" t="str">
        <f>_xlfn.DISPIMG("ID_DAFD041C197E48C8BFE29149E65CC150",1)</f>
        <v>=DISPIMG("ID_DAFD041C197E48C8BFE29149E65CC150",1)</v>
      </c>
      <c r="E729" s="18"/>
      <c r="F729" s="19"/>
      <c r="G729" s="18">
        <f t="shared" si="12"/>
        <v>27</v>
      </c>
      <c r="H729" s="22">
        <v>23</v>
      </c>
      <c r="I729" s="19">
        <v>25</v>
      </c>
    </row>
    <row r="730" ht="70" customHeight="1" spans="1:9">
      <c r="A730" s="1" t="s">
        <v>1408</v>
      </c>
      <c r="B730" s="78"/>
      <c r="C730" s="78"/>
      <c r="D730" s="78"/>
      <c r="E730" s="78"/>
      <c r="F730" s="78"/>
      <c r="G730" s="18"/>
      <c r="H730" s="78"/>
      <c r="I730" s="78"/>
    </row>
    <row r="731" ht="60" customHeight="1" spans="1:9">
      <c r="A731" s="21" t="s">
        <v>1409</v>
      </c>
      <c r="B731" s="41" t="s">
        <v>1410</v>
      </c>
      <c r="C731" s="16"/>
      <c r="D731" s="42" t="str">
        <f>_xlfn.DISPIMG("ID_C8C0678FE9B64675B150A09AE33FE2D6",1)</f>
        <v>=DISPIMG("ID_C8C0678FE9B64675B150A09AE33FE2D6",1)</v>
      </c>
      <c r="E731" s="18"/>
      <c r="F731" s="19"/>
      <c r="G731" s="18">
        <f t="shared" si="12"/>
        <v>37</v>
      </c>
      <c r="H731" s="22">
        <v>32</v>
      </c>
      <c r="I731" s="19">
        <v>35</v>
      </c>
    </row>
    <row r="732" ht="70" customHeight="1" spans="1:9">
      <c r="A732" s="1" t="s">
        <v>1411</v>
      </c>
      <c r="B732" s="78"/>
      <c r="C732" s="78"/>
      <c r="D732" s="78"/>
      <c r="E732" s="78"/>
      <c r="F732" s="78"/>
      <c r="G732" s="18"/>
      <c r="H732" s="78"/>
      <c r="I732" s="78"/>
    </row>
    <row r="733" ht="60" customHeight="1" spans="1:9">
      <c r="A733" s="21" t="s">
        <v>1412</v>
      </c>
      <c r="B733" s="41" t="s">
        <v>1413</v>
      </c>
      <c r="C733" s="16"/>
      <c r="D733" s="42" t="str">
        <f>_xlfn.DISPIMG("ID_E6C845E7E8124153AEFAD72ADA5BADE3",1)</f>
        <v>=DISPIMG("ID_E6C845E7E8124153AEFAD72ADA5BADE3",1)</v>
      </c>
      <c r="E733" s="18"/>
      <c r="F733" s="19"/>
      <c r="G733" s="18">
        <f t="shared" si="12"/>
        <v>14.5</v>
      </c>
      <c r="H733" s="22">
        <v>10.5</v>
      </c>
      <c r="I733" s="19">
        <v>12.5</v>
      </c>
    </row>
    <row r="734" ht="70" customHeight="1" spans="1:9">
      <c r="A734" s="1" t="s">
        <v>1414</v>
      </c>
      <c r="B734" s="78"/>
      <c r="C734" s="78"/>
      <c r="D734" s="78"/>
      <c r="E734" s="78"/>
      <c r="F734" s="78"/>
      <c r="G734" s="18"/>
      <c r="H734" s="78"/>
      <c r="I734" s="78"/>
    </row>
    <row r="735" ht="60" customHeight="1" spans="1:9">
      <c r="A735" s="21" t="s">
        <v>1415</v>
      </c>
      <c r="B735" s="41" t="s">
        <v>1416</v>
      </c>
      <c r="C735" s="16"/>
      <c r="D735" s="42" t="str">
        <f>_xlfn.DISPIMG("ID_DBB86665DBDC4A209221E1D130BACACD",1)</f>
        <v>=DISPIMG("ID_DBB86665DBDC4A209221E1D130BACACD",1)</v>
      </c>
      <c r="E735" s="18"/>
      <c r="F735" s="19"/>
      <c r="G735" s="18">
        <f t="shared" si="12"/>
        <v>29</v>
      </c>
      <c r="H735" s="22">
        <v>25</v>
      </c>
      <c r="I735" s="19">
        <v>27</v>
      </c>
    </row>
    <row r="736" ht="70" customHeight="1" spans="1:9">
      <c r="A736" s="1" t="s">
        <v>1417</v>
      </c>
      <c r="B736" s="78"/>
      <c r="C736" s="78"/>
      <c r="D736" s="78"/>
      <c r="E736" s="78"/>
      <c r="F736" s="78"/>
      <c r="G736" s="18"/>
      <c r="H736" s="78"/>
      <c r="I736" s="78"/>
    </row>
    <row r="737" ht="60" customHeight="1" spans="1:9">
      <c r="A737" s="21" t="s">
        <v>1418</v>
      </c>
      <c r="B737" s="41" t="s">
        <v>1419</v>
      </c>
      <c r="C737" s="16"/>
      <c r="D737" s="42" t="str">
        <f>_xlfn.DISPIMG("ID_FD9D9096AC90454696E55ADA73165026",1)</f>
        <v>=DISPIMG("ID_FD9D9096AC90454696E55ADA73165026",1)</v>
      </c>
      <c r="E737" s="18"/>
      <c r="F737" s="19"/>
      <c r="G737" s="18">
        <f t="shared" si="12"/>
        <v>50</v>
      </c>
      <c r="H737" s="22">
        <v>46</v>
      </c>
      <c r="I737" s="19">
        <v>48</v>
      </c>
    </row>
    <row r="738" ht="60" customHeight="1" spans="1:9">
      <c r="A738" s="21" t="s">
        <v>1420</v>
      </c>
      <c r="B738" s="41" t="s">
        <v>1421</v>
      </c>
      <c r="C738" s="16"/>
      <c r="D738" s="42" t="str">
        <f>_xlfn.DISPIMG("ID_F495485FB5514F20BA5FDE15E289C6F9",1)</f>
        <v>=DISPIMG("ID_F495485FB5514F20BA5FDE15E289C6F9",1)</v>
      </c>
      <c r="E738" s="18"/>
      <c r="F738" s="19"/>
      <c r="G738" s="18">
        <f t="shared" si="12"/>
        <v>44</v>
      </c>
      <c r="H738" s="22">
        <v>40</v>
      </c>
      <c r="I738" s="19">
        <v>42</v>
      </c>
    </row>
    <row r="739" ht="60" customHeight="1" spans="1:9">
      <c r="A739" s="21" t="s">
        <v>1422</v>
      </c>
      <c r="B739" s="41" t="s">
        <v>1423</v>
      </c>
      <c r="C739" s="16"/>
      <c r="D739" s="42" t="str">
        <f>_xlfn.DISPIMG("ID_17C8545BE6F440A98DBA85F41039522C",1)</f>
        <v>=DISPIMG("ID_17C8545BE6F440A98DBA85F41039522C",1)</v>
      </c>
      <c r="E739" s="18"/>
      <c r="F739" s="19"/>
      <c r="G739" s="18">
        <f t="shared" si="12"/>
        <v>46</v>
      </c>
      <c r="H739" s="22">
        <v>42</v>
      </c>
      <c r="I739" s="19">
        <v>44</v>
      </c>
    </row>
    <row r="740" ht="70" customHeight="1" spans="1:9">
      <c r="A740" s="1" t="s">
        <v>1424</v>
      </c>
      <c r="B740" s="78"/>
      <c r="C740" s="78"/>
      <c r="D740" s="78"/>
      <c r="E740" s="78"/>
      <c r="F740" s="78"/>
      <c r="G740" s="18"/>
      <c r="H740" s="78"/>
      <c r="I740" s="78"/>
    </row>
    <row r="741" ht="60" customHeight="1" spans="1:9">
      <c r="A741" s="21" t="s">
        <v>1425</v>
      </c>
      <c r="B741" s="41" t="s">
        <v>1426</v>
      </c>
      <c r="C741" s="16"/>
      <c r="D741" s="42" t="str">
        <f>_xlfn.DISPIMG("ID_D26FC09290A441E68086254312D5EBDA",1)</f>
        <v>=DISPIMG("ID_D26FC09290A441E68086254312D5EBDA",1)</v>
      </c>
      <c r="E741" s="18"/>
      <c r="F741" s="19"/>
      <c r="G741" s="18">
        <f t="shared" si="12"/>
        <v>23</v>
      </c>
      <c r="H741" s="22">
        <v>19</v>
      </c>
      <c r="I741" s="19">
        <v>21</v>
      </c>
    </row>
    <row r="742" ht="70" customHeight="1" spans="1:9">
      <c r="A742" s="1" t="s">
        <v>1427</v>
      </c>
      <c r="B742" s="78"/>
      <c r="C742" s="78"/>
      <c r="D742" s="78"/>
      <c r="E742" s="78"/>
      <c r="F742" s="78"/>
      <c r="G742" s="18"/>
      <c r="H742" s="78"/>
      <c r="I742" s="78"/>
    </row>
    <row r="743" ht="60" customHeight="1" spans="1:9">
      <c r="A743" s="21" t="s">
        <v>1428</v>
      </c>
      <c r="B743" s="41" t="s">
        <v>1429</v>
      </c>
      <c r="C743" s="16"/>
      <c r="D743" s="42" t="str">
        <f>_xlfn.DISPIMG("ID_D376211006434DDAA5803BEB427B4B9F",1)</f>
        <v>=DISPIMG("ID_D376211006434DDAA5803BEB427B4B9F",1)</v>
      </c>
      <c r="E743" s="18"/>
      <c r="F743" s="19"/>
      <c r="G743" s="18">
        <f t="shared" si="12"/>
        <v>47</v>
      </c>
      <c r="H743" s="22">
        <v>43</v>
      </c>
      <c r="I743" s="19">
        <v>45</v>
      </c>
    </row>
    <row r="744" ht="70" customHeight="1" spans="1:9">
      <c r="A744" s="1" t="s">
        <v>1430</v>
      </c>
      <c r="B744" s="78"/>
      <c r="C744" s="78"/>
      <c r="D744" s="78"/>
      <c r="E744" s="78"/>
      <c r="F744" s="78"/>
      <c r="G744" s="18"/>
      <c r="H744" s="78"/>
      <c r="I744" s="78"/>
    </row>
    <row r="745" ht="60" customHeight="1" spans="1:9">
      <c r="A745" s="21" t="s">
        <v>1431</v>
      </c>
      <c r="B745" s="41" t="s">
        <v>1432</v>
      </c>
      <c r="C745" s="16"/>
      <c r="D745" s="42" t="str">
        <f>_xlfn.DISPIMG("ID_32EECCE9EB2648BBB2AC41C1C83864EA",1)</f>
        <v>=DISPIMG("ID_32EECCE9EB2648BBB2AC41C1C83864EA",1)</v>
      </c>
      <c r="E745" s="18"/>
      <c r="F745" s="19"/>
      <c r="G745" s="18">
        <f t="shared" si="12"/>
        <v>38</v>
      </c>
      <c r="H745" s="22">
        <v>34</v>
      </c>
      <c r="I745" s="19">
        <v>36</v>
      </c>
    </row>
    <row r="746" ht="70" customHeight="1" spans="1:9">
      <c r="A746" s="1" t="s">
        <v>1433</v>
      </c>
      <c r="B746" s="78"/>
      <c r="C746" s="78"/>
      <c r="D746" s="78"/>
      <c r="E746" s="78"/>
      <c r="F746" s="78"/>
      <c r="G746" s="18">
        <f t="shared" si="12"/>
        <v>2</v>
      </c>
      <c r="H746" s="78"/>
      <c r="I746" s="78"/>
    </row>
    <row r="747" ht="60" customHeight="1" spans="1:9">
      <c r="A747" s="21" t="s">
        <v>1434</v>
      </c>
      <c r="B747" s="41" t="s">
        <v>1435</v>
      </c>
      <c r="C747" s="16"/>
      <c r="D747" s="42" t="str">
        <f>_xlfn.DISPIMG("ID_BD5CF5A60FF44F54A729848F296CB2A9",1)</f>
        <v>=DISPIMG("ID_BD5CF5A60FF44F54A729848F296CB2A9",1)</v>
      </c>
      <c r="E747" s="18"/>
      <c r="F747" s="19"/>
      <c r="G747" s="18">
        <f t="shared" si="12"/>
        <v>90</v>
      </c>
      <c r="H747" s="22">
        <v>86</v>
      </c>
      <c r="I747" s="19">
        <v>88</v>
      </c>
    </row>
    <row r="748" ht="60" customHeight="1" spans="1:9">
      <c r="A748" s="21" t="s">
        <v>1436</v>
      </c>
      <c r="B748" s="41" t="s">
        <v>1437</v>
      </c>
      <c r="C748" s="16"/>
      <c r="D748" s="42" t="str">
        <f>_xlfn.DISPIMG("ID_748D0E2A622F4ABA97A432396FACBAC6",1)</f>
        <v>=DISPIMG("ID_748D0E2A622F4ABA97A432396FACBAC6",1)</v>
      </c>
      <c r="E748" s="18"/>
      <c r="F748" s="19"/>
      <c r="G748" s="18">
        <f t="shared" si="12"/>
        <v>71</v>
      </c>
      <c r="H748" s="22">
        <v>67</v>
      </c>
      <c r="I748" s="19">
        <v>69</v>
      </c>
    </row>
    <row r="749" ht="70" customHeight="1" spans="1:9">
      <c r="A749" s="1" t="s">
        <v>1438</v>
      </c>
      <c r="B749" s="78"/>
      <c r="C749" s="78"/>
      <c r="D749" s="78"/>
      <c r="E749" s="78"/>
      <c r="F749" s="78"/>
      <c r="G749" s="18">
        <f t="shared" si="12"/>
        <v>2</v>
      </c>
      <c r="H749" s="78"/>
      <c r="I749" s="78"/>
    </row>
    <row r="750" ht="60" customHeight="1" spans="1:9">
      <c r="A750" s="21" t="s">
        <v>1439</v>
      </c>
      <c r="B750" s="41" t="s">
        <v>1440</v>
      </c>
      <c r="C750" s="16"/>
      <c r="D750" s="42" t="str">
        <f>_xlfn.DISPIMG("ID_D0C58B110D6F47A9A1104AACDC530BF1",1)</f>
        <v>=DISPIMG("ID_D0C58B110D6F47A9A1104AACDC530BF1",1)</v>
      </c>
      <c r="E750" s="18"/>
      <c r="F750" s="19"/>
      <c r="G750" s="18">
        <f t="shared" si="12"/>
        <v>39</v>
      </c>
      <c r="H750" s="22">
        <v>35</v>
      </c>
      <c r="I750" s="19">
        <v>37</v>
      </c>
    </row>
    <row r="751" ht="60" customHeight="1" spans="1:9">
      <c r="A751" s="21" t="s">
        <v>1441</v>
      </c>
      <c r="B751" s="41" t="s">
        <v>1442</v>
      </c>
      <c r="C751" s="16"/>
      <c r="D751" s="42" t="str">
        <f>_xlfn.DISPIMG("ID_BB456F37AC4F4CD392984E91D51C5364",1)</f>
        <v>=DISPIMG("ID_BB456F37AC4F4CD392984E91D51C5364",1)</v>
      </c>
      <c r="E751" s="18"/>
      <c r="F751" s="19"/>
      <c r="G751" s="18">
        <f t="shared" si="12"/>
        <v>43</v>
      </c>
      <c r="H751" s="22">
        <v>39</v>
      </c>
      <c r="I751" s="19">
        <v>41</v>
      </c>
    </row>
    <row r="752" ht="60" customHeight="1" spans="1:9">
      <c r="A752" s="21" t="s">
        <v>1443</v>
      </c>
      <c r="B752" s="41" t="s">
        <v>1444</v>
      </c>
      <c r="C752" s="16"/>
      <c r="D752" s="42" t="str">
        <f>_xlfn.DISPIMG("ID_6C5208693AA8447D97BB42F7EAF06C20",1)</f>
        <v>=DISPIMG("ID_6C5208693AA8447D97BB42F7EAF06C20",1)</v>
      </c>
      <c r="E752" s="18"/>
      <c r="F752" s="19"/>
      <c r="G752" s="18">
        <f t="shared" si="12"/>
        <v>26</v>
      </c>
      <c r="H752" s="22">
        <v>22</v>
      </c>
      <c r="I752" s="19">
        <v>24</v>
      </c>
    </row>
    <row r="753" ht="60" customHeight="1" spans="1:9">
      <c r="A753" s="21" t="s">
        <v>1445</v>
      </c>
      <c r="B753" s="41" t="s">
        <v>1446</v>
      </c>
      <c r="C753" s="16"/>
      <c r="D753" s="42" t="str">
        <f>_xlfn.DISPIMG("ID_5EB02A31DB6F4174BD5B3888F7347CDE",1)</f>
        <v>=DISPIMG("ID_5EB02A31DB6F4174BD5B3888F7347CDE",1)</v>
      </c>
      <c r="E753" s="18"/>
      <c r="F753" s="19"/>
      <c r="G753" s="18">
        <f t="shared" si="12"/>
        <v>26</v>
      </c>
      <c r="H753" s="22">
        <v>22</v>
      </c>
      <c r="I753" s="19">
        <v>24</v>
      </c>
    </row>
    <row r="754" ht="60" customHeight="1" spans="1:9">
      <c r="A754" s="21" t="s">
        <v>1447</v>
      </c>
      <c r="B754" s="41" t="s">
        <v>1448</v>
      </c>
      <c r="C754" s="16"/>
      <c r="D754" s="42" t="str">
        <f>_xlfn.DISPIMG("ID_C9A0F03405BB4FE68E3289C8203E87F2",1)</f>
        <v>=DISPIMG("ID_C9A0F03405BB4FE68E3289C8203E87F2",1)</v>
      </c>
      <c r="E754" s="18"/>
      <c r="F754" s="19"/>
      <c r="G754" s="18">
        <f t="shared" si="12"/>
        <v>34</v>
      </c>
      <c r="H754" s="22">
        <v>30</v>
      </c>
      <c r="I754" s="19">
        <v>32</v>
      </c>
    </row>
    <row r="755" ht="70" customHeight="1" spans="1:9">
      <c r="A755" s="1" t="s">
        <v>1449</v>
      </c>
      <c r="B755" s="78"/>
      <c r="C755" s="78"/>
      <c r="D755" s="78"/>
      <c r="E755" s="78"/>
      <c r="F755" s="78"/>
      <c r="G755" s="18"/>
      <c r="H755" s="78"/>
      <c r="I755" s="78"/>
    </row>
    <row r="756" ht="60" customHeight="1" spans="1:9">
      <c r="A756" s="21" t="s">
        <v>1450</v>
      </c>
      <c r="B756" s="41" t="s">
        <v>1451</v>
      </c>
      <c r="C756" s="16"/>
      <c r="D756" s="42" t="str">
        <f>_xlfn.DISPIMG("ID_D5C40FEE44444B8C8FD305E309CB4DF9",1)</f>
        <v>=DISPIMG("ID_D5C40FEE44444B8C8FD305E309CB4DF9",1)</v>
      </c>
      <c r="E756" s="18"/>
      <c r="F756" s="19"/>
      <c r="G756" s="18">
        <f t="shared" si="12"/>
        <v>43</v>
      </c>
      <c r="H756" s="22">
        <v>39</v>
      </c>
      <c r="I756" s="19">
        <v>41</v>
      </c>
    </row>
    <row r="757" ht="60" customHeight="1" spans="1:9">
      <c r="A757" s="21" t="s">
        <v>1452</v>
      </c>
      <c r="B757" s="41" t="s">
        <v>1453</v>
      </c>
      <c r="C757" s="16"/>
      <c r="D757" s="42" t="str">
        <f>_xlfn.DISPIMG("ID_BC7D4CC4F88C4DF1A9443D654FF6E26A",1)</f>
        <v>=DISPIMG("ID_BC7D4CC4F88C4DF1A9443D654FF6E26A",1)</v>
      </c>
      <c r="E757" s="18"/>
      <c r="F757" s="19"/>
      <c r="G757" s="18">
        <f t="shared" ref="G757:G778" si="13">I757+2</f>
        <v>45</v>
      </c>
      <c r="H757" s="22">
        <v>41</v>
      </c>
      <c r="I757" s="19">
        <v>43</v>
      </c>
    </row>
    <row r="758" ht="60" customHeight="1" spans="1:9">
      <c r="A758" s="21" t="s">
        <v>1454</v>
      </c>
      <c r="B758" s="41" t="s">
        <v>1455</v>
      </c>
      <c r="C758" s="16"/>
      <c r="D758" s="42" t="str">
        <f>_xlfn.DISPIMG("ID_DC49D82B0A2A4E27AD790949067B05E3",1)</f>
        <v>=DISPIMG("ID_DC49D82B0A2A4E27AD790949067B05E3",1)</v>
      </c>
      <c r="E758" s="18"/>
      <c r="F758" s="19"/>
      <c r="G758" s="18">
        <f t="shared" si="13"/>
        <v>40</v>
      </c>
      <c r="H758" s="22">
        <v>36</v>
      </c>
      <c r="I758" s="19">
        <v>38</v>
      </c>
    </row>
    <row r="759" ht="60" customHeight="1" spans="1:9">
      <c r="A759" s="21" t="s">
        <v>1456</v>
      </c>
      <c r="B759" s="41" t="s">
        <v>1457</v>
      </c>
      <c r="C759" s="16"/>
      <c r="D759" s="42" t="str">
        <f>_xlfn.DISPIMG("ID_0FFC1DBC4A104BF280FA775551E57B97",1)</f>
        <v>=DISPIMG("ID_0FFC1DBC4A104BF280FA775551E57B97",1)</v>
      </c>
      <c r="E759" s="18"/>
      <c r="F759" s="19"/>
      <c r="G759" s="18">
        <f t="shared" si="13"/>
        <v>43</v>
      </c>
      <c r="H759" s="22">
        <v>39</v>
      </c>
      <c r="I759" s="19">
        <v>41</v>
      </c>
    </row>
    <row r="760" ht="60" customHeight="1" spans="1:9">
      <c r="A760" s="21" t="s">
        <v>1458</v>
      </c>
      <c r="B760" s="41" t="s">
        <v>1459</v>
      </c>
      <c r="C760" s="16"/>
      <c r="D760" s="42" t="str">
        <f>_xlfn.DISPIMG("ID_47C83322191B48438C9F3EF0755AAECB",1)</f>
        <v>=DISPIMG("ID_47C83322191B48438C9F3EF0755AAECB",1)</v>
      </c>
      <c r="E760" s="18"/>
      <c r="F760" s="19"/>
      <c r="G760" s="18">
        <f t="shared" si="13"/>
        <v>45</v>
      </c>
      <c r="H760" s="22">
        <v>41</v>
      </c>
      <c r="I760" s="19">
        <v>43</v>
      </c>
    </row>
    <row r="761" ht="70" customHeight="1" spans="1:9">
      <c r="A761" s="1" t="s">
        <v>1460</v>
      </c>
      <c r="B761" s="78"/>
      <c r="C761" s="78"/>
      <c r="D761" s="78"/>
      <c r="E761" s="78"/>
      <c r="F761" s="78"/>
      <c r="G761" s="18"/>
      <c r="H761" s="78"/>
      <c r="I761" s="78"/>
    </row>
    <row r="762" ht="60" customHeight="1" spans="1:9">
      <c r="A762" s="21" t="s">
        <v>1461</v>
      </c>
      <c r="B762" s="41" t="s">
        <v>1462</v>
      </c>
      <c r="C762" s="16"/>
      <c r="D762" s="42" t="str">
        <f>_xlfn.DISPIMG("ID_D5D2D81FCB4644DAA38A9B6EF5E2A669",1)</f>
        <v>=DISPIMG("ID_D5D2D81FCB4644DAA38A9B6EF5E2A669",1)</v>
      </c>
      <c r="E762" s="18"/>
      <c r="F762" s="19"/>
      <c r="G762" s="18">
        <f t="shared" si="13"/>
        <v>26</v>
      </c>
      <c r="H762" s="22">
        <v>22</v>
      </c>
      <c r="I762" s="19">
        <v>24</v>
      </c>
    </row>
    <row r="763" ht="60" customHeight="1" spans="1:9">
      <c r="A763" s="21" t="s">
        <v>1463</v>
      </c>
      <c r="B763" s="41" t="s">
        <v>1464</v>
      </c>
      <c r="C763" s="16"/>
      <c r="D763" s="42" t="str">
        <f>_xlfn.DISPIMG("ID_CC7DFE8B99A74FECB79730D49EA69459",1)</f>
        <v>=DISPIMG("ID_CC7DFE8B99A74FECB79730D49EA69459",1)</v>
      </c>
      <c r="E763" s="18"/>
      <c r="F763" s="19"/>
      <c r="G763" s="18">
        <f t="shared" si="13"/>
        <v>26</v>
      </c>
      <c r="H763" s="22">
        <v>22</v>
      </c>
      <c r="I763" s="19">
        <v>24</v>
      </c>
    </row>
    <row r="764" ht="60" customHeight="1" spans="1:9">
      <c r="A764" s="21" t="s">
        <v>1465</v>
      </c>
      <c r="B764" s="41" t="s">
        <v>1466</v>
      </c>
      <c r="C764" s="16"/>
      <c r="D764" s="42" t="str">
        <f>_xlfn.DISPIMG("ID_A2E4CC7582834DF6B482F99CF615BDB5",1)</f>
        <v>=DISPIMG("ID_A2E4CC7582834DF6B482F99CF615BDB5",1)</v>
      </c>
      <c r="E764" s="18"/>
      <c r="F764" s="19"/>
      <c r="G764" s="18">
        <f t="shared" si="13"/>
        <v>26</v>
      </c>
      <c r="H764" s="22">
        <v>22</v>
      </c>
      <c r="I764" s="19">
        <v>24</v>
      </c>
    </row>
    <row r="765" ht="60" customHeight="1" spans="1:9">
      <c r="A765" s="21" t="s">
        <v>1467</v>
      </c>
      <c r="B765" s="41" t="s">
        <v>1468</v>
      </c>
      <c r="C765" s="16"/>
      <c r="D765" s="42" t="str">
        <f>_xlfn.DISPIMG("ID_A8EC3146F04F49118CFD04263DD85D65",1)</f>
        <v>=DISPIMG("ID_A8EC3146F04F49118CFD04263DD85D65",1)</v>
      </c>
      <c r="E765" s="18"/>
      <c r="F765" s="19"/>
      <c r="G765" s="18">
        <f t="shared" si="13"/>
        <v>26</v>
      </c>
      <c r="H765" s="22">
        <v>22</v>
      </c>
      <c r="I765" s="19">
        <v>24</v>
      </c>
    </row>
    <row r="766" ht="60" customHeight="1" spans="1:9">
      <c r="A766" s="21" t="s">
        <v>1469</v>
      </c>
      <c r="B766" s="41" t="s">
        <v>1470</v>
      </c>
      <c r="C766" s="16"/>
      <c r="D766" s="42" t="str">
        <f>_xlfn.DISPIMG("ID_93AAA47333FE4048B0142B0AB91B63AD",1)</f>
        <v>=DISPIMG("ID_93AAA47333FE4048B0142B0AB91B63AD",1)</v>
      </c>
      <c r="E766" s="18"/>
      <c r="F766" s="19"/>
      <c r="G766" s="18">
        <f t="shared" si="13"/>
        <v>26</v>
      </c>
      <c r="H766" s="22">
        <v>22</v>
      </c>
      <c r="I766" s="19">
        <v>24</v>
      </c>
    </row>
    <row r="767" ht="60" customHeight="1" spans="1:9">
      <c r="A767" s="21" t="s">
        <v>1471</v>
      </c>
      <c r="B767" s="41" t="s">
        <v>1472</v>
      </c>
      <c r="C767" s="16"/>
      <c r="D767" s="42" t="str">
        <f>_xlfn.DISPIMG("ID_3389DB47475A4928BDDCDFC3D073E88A",1)</f>
        <v>=DISPIMG("ID_3389DB47475A4928BDDCDFC3D073E88A",1)</v>
      </c>
      <c r="E767" s="18"/>
      <c r="F767" s="19"/>
      <c r="G767" s="18">
        <f t="shared" si="13"/>
        <v>26</v>
      </c>
      <c r="H767" s="22">
        <v>22</v>
      </c>
      <c r="I767" s="19">
        <v>24</v>
      </c>
    </row>
    <row r="768" ht="60" customHeight="1" spans="1:9">
      <c r="A768" s="21" t="s">
        <v>1473</v>
      </c>
      <c r="B768" s="41" t="s">
        <v>1474</v>
      </c>
      <c r="C768" s="16"/>
      <c r="D768" s="42" t="str">
        <f>_xlfn.DISPIMG("ID_B95974DB824342F4A8B806E27C8CE933",1)</f>
        <v>=DISPIMG("ID_B95974DB824342F4A8B806E27C8CE933",1)</v>
      </c>
      <c r="E768" s="18"/>
      <c r="F768" s="19"/>
      <c r="G768" s="18">
        <f t="shared" si="13"/>
        <v>26</v>
      </c>
      <c r="H768" s="22">
        <v>22</v>
      </c>
      <c r="I768" s="19">
        <v>24</v>
      </c>
    </row>
    <row r="769" ht="60" customHeight="1" spans="1:9">
      <c r="A769" s="21" t="s">
        <v>1475</v>
      </c>
      <c r="B769" s="41" t="s">
        <v>1476</v>
      </c>
      <c r="C769" s="16"/>
      <c r="D769" s="42" t="str">
        <f>_xlfn.DISPIMG("ID_EC76E71DB002415B9C2FA95DFC6B7E2A",1)</f>
        <v>=DISPIMG("ID_EC76E71DB002415B9C2FA95DFC6B7E2A",1)</v>
      </c>
      <c r="E769" s="18"/>
      <c r="F769" s="19"/>
      <c r="G769" s="18">
        <f t="shared" si="13"/>
        <v>26</v>
      </c>
      <c r="H769" s="22">
        <v>22</v>
      </c>
      <c r="I769" s="19">
        <v>24</v>
      </c>
    </row>
    <row r="770" ht="60" customHeight="1" spans="1:9">
      <c r="A770" s="21" t="s">
        <v>1477</v>
      </c>
      <c r="B770" s="41" t="s">
        <v>1478</v>
      </c>
      <c r="C770" s="16"/>
      <c r="D770" s="42" t="str">
        <f>_xlfn.DISPIMG("ID_8FD6271BE1AC45C89221E231BFD916AB",1)</f>
        <v>=DISPIMG("ID_8FD6271BE1AC45C89221E231BFD916AB",1)</v>
      </c>
      <c r="E770" s="18"/>
      <c r="F770" s="19"/>
      <c r="G770" s="18">
        <f t="shared" si="13"/>
        <v>26</v>
      </c>
      <c r="H770" s="22">
        <v>22</v>
      </c>
      <c r="I770" s="19">
        <v>24</v>
      </c>
    </row>
    <row r="771" ht="60" customHeight="1" spans="1:9">
      <c r="A771" s="21" t="s">
        <v>1479</v>
      </c>
      <c r="B771" s="41" t="s">
        <v>1480</v>
      </c>
      <c r="C771" s="16"/>
      <c r="D771" s="42" t="str">
        <f>_xlfn.DISPIMG("ID_414E1E3793424CF6AA155273D0C0416B",1)</f>
        <v>=DISPIMG("ID_414E1E3793424CF6AA155273D0C0416B",1)</v>
      </c>
      <c r="E771" s="18"/>
      <c r="F771" s="19"/>
      <c r="G771" s="18">
        <f t="shared" si="13"/>
        <v>26</v>
      </c>
      <c r="H771" s="22">
        <v>22</v>
      </c>
      <c r="I771" s="19">
        <v>24</v>
      </c>
    </row>
    <row r="772" ht="60" customHeight="1" spans="1:9">
      <c r="A772" s="21" t="s">
        <v>1481</v>
      </c>
      <c r="B772" s="41" t="s">
        <v>1482</v>
      </c>
      <c r="C772" s="16"/>
      <c r="D772" s="42" t="str">
        <f>_xlfn.DISPIMG("ID_3EACDD1A55D04873AAC639868AAEFBF8",1)</f>
        <v>=DISPIMG("ID_3EACDD1A55D04873AAC639868AAEFBF8",1)</v>
      </c>
      <c r="E772" s="18"/>
      <c r="F772" s="19"/>
      <c r="G772" s="18">
        <f t="shared" si="13"/>
        <v>26</v>
      </c>
      <c r="H772" s="22">
        <v>22</v>
      </c>
      <c r="I772" s="19">
        <v>24</v>
      </c>
    </row>
    <row r="773" ht="60" customHeight="1" spans="1:9">
      <c r="A773" s="21" t="s">
        <v>1483</v>
      </c>
      <c r="B773" s="41" t="s">
        <v>1484</v>
      </c>
      <c r="C773" s="16"/>
      <c r="D773" s="42" t="str">
        <f>_xlfn.DISPIMG("ID_BCD79CEEDB4C48FEAF8B6AB5945D3F15",1)</f>
        <v>=DISPIMG("ID_BCD79CEEDB4C48FEAF8B6AB5945D3F15",1)</v>
      </c>
      <c r="E773" s="18"/>
      <c r="F773" s="19"/>
      <c r="G773" s="18">
        <f t="shared" si="13"/>
        <v>26</v>
      </c>
      <c r="H773" s="22">
        <v>22</v>
      </c>
      <c r="I773" s="19">
        <v>24</v>
      </c>
    </row>
    <row r="774" ht="60" customHeight="1" spans="1:9">
      <c r="A774" s="21" t="s">
        <v>1485</v>
      </c>
      <c r="B774" s="41" t="s">
        <v>1486</v>
      </c>
      <c r="C774" s="16"/>
      <c r="D774" s="42" t="str">
        <f>_xlfn.DISPIMG("ID_D06E7E8F7F6448DCB6B451B19DABB223",1)</f>
        <v>=DISPIMG("ID_D06E7E8F7F6448DCB6B451B19DABB223",1)</v>
      </c>
      <c r="E774" s="18"/>
      <c r="F774" s="19"/>
      <c r="G774" s="18">
        <f t="shared" si="13"/>
        <v>26</v>
      </c>
      <c r="H774" s="22">
        <v>22</v>
      </c>
      <c r="I774" s="19">
        <v>24</v>
      </c>
    </row>
    <row r="775" ht="60" customHeight="1" spans="1:9">
      <c r="A775" s="21" t="s">
        <v>1487</v>
      </c>
      <c r="B775" s="41" t="s">
        <v>1488</v>
      </c>
      <c r="C775" s="16"/>
      <c r="D775" s="42" t="str">
        <f>_xlfn.DISPIMG("ID_AF72EA6474A44F0894430BF70440004B",1)</f>
        <v>=DISPIMG("ID_AF72EA6474A44F0894430BF70440004B",1)</v>
      </c>
      <c r="E775" s="18"/>
      <c r="F775" s="19"/>
      <c r="G775" s="18">
        <f t="shared" si="13"/>
        <v>26</v>
      </c>
      <c r="H775" s="22">
        <v>22</v>
      </c>
      <c r="I775" s="19">
        <v>24</v>
      </c>
    </row>
    <row r="776" ht="60" customHeight="1" spans="1:9">
      <c r="A776" s="21" t="s">
        <v>1489</v>
      </c>
      <c r="B776" s="41" t="s">
        <v>1490</v>
      </c>
      <c r="C776" s="16"/>
      <c r="D776" s="42" t="str">
        <f>_xlfn.DISPIMG("ID_2DA3C2DED8A54E239CF9FE7BA78FA6B9",1)</f>
        <v>=DISPIMG("ID_2DA3C2DED8A54E239CF9FE7BA78FA6B9",1)</v>
      </c>
      <c r="E776" s="18"/>
      <c r="F776" s="19"/>
      <c r="G776" s="18">
        <f t="shared" si="13"/>
        <v>26</v>
      </c>
      <c r="H776" s="22">
        <v>22</v>
      </c>
      <c r="I776" s="19">
        <v>24</v>
      </c>
    </row>
    <row r="777" ht="60" customHeight="1" spans="1:9">
      <c r="A777" s="21" t="s">
        <v>1491</v>
      </c>
      <c r="B777" s="41" t="s">
        <v>1492</v>
      </c>
      <c r="C777" s="16"/>
      <c r="D777" s="42" t="str">
        <f>_xlfn.DISPIMG("ID_EF82D49584B041B6A3AE001E508594FB",1)</f>
        <v>=DISPIMG("ID_EF82D49584B041B6A3AE001E508594FB",1)</v>
      </c>
      <c r="E777" s="18"/>
      <c r="F777" s="19"/>
      <c r="G777" s="18">
        <f t="shared" si="13"/>
        <v>26</v>
      </c>
      <c r="H777" s="22">
        <v>22</v>
      </c>
      <c r="I777" s="19">
        <v>24</v>
      </c>
    </row>
    <row r="778" ht="60" customHeight="1" spans="1:9">
      <c r="A778" s="21" t="s">
        <v>1493</v>
      </c>
      <c r="B778" s="41" t="s">
        <v>1494</v>
      </c>
      <c r="C778" s="16"/>
      <c r="D778" s="42" t="str">
        <f>_xlfn.DISPIMG("ID_AD35D5773D4544A1B472EDCDB5E874F1",1)</f>
        <v>=DISPIMG("ID_AD35D5773D4544A1B472EDCDB5E874F1",1)</v>
      </c>
      <c r="E778" s="18"/>
      <c r="F778" s="19"/>
      <c r="G778" s="18">
        <f t="shared" si="13"/>
        <v>26</v>
      </c>
      <c r="H778" s="22">
        <v>22</v>
      </c>
      <c r="I778" s="19">
        <v>24</v>
      </c>
    </row>
  </sheetData>
  <autoFilter xmlns:etc="http://www.wps.cn/officeDocument/2017/etCustomData" ref="A1:I778" etc:filterBottomFollowUsedRange="0">
    <extLst/>
  </autoFilter>
  <pageMargins left="0.156944444444444" right="0.196527777777778" top="0.472222222222222" bottom="1" header="0.5" footer="0.0388888888888889"/>
  <pageSetup paperSize="256" scale="40" orientation="portrait"/>
  <headerFooter/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skin care&amp;hair care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HP</dc:creator>
  <cp:lastModifiedBy>user</cp:lastModifiedBy>
  <dcterms:created xsi:type="dcterms:W3CDTF">2015-06-07T02:17:00Z</dcterms:created>
  <dcterms:modified xsi:type="dcterms:W3CDTF">2026-07-31T07:59:48Z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A8E128CABDB33E902A41626A913AE4AA_43</vt:lpwstr>
  </property>
  <property fmtid="{D5CDD505-2E9C-101B-9397-08002B2CF9AE}" pid="3" name="KSOProductBuildVer">
    <vt:lpwstr>1033-12.1.0.28032</vt:lpwstr>
  </property>
  <property fmtid="{D5CDD505-2E9C-101B-9397-08002B2CF9AE}" pid="4" name="CalculationRule">
    <vt:i4>0</vt:i4>
  </property>
</Properties>
</file>